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mc:AlternateContent xmlns:mc="http://schemas.openxmlformats.org/markup-compatibility/2006">
    <mc:Choice Requires="x15">
      <x15ac:absPath xmlns:x15ac="http://schemas.microsoft.com/office/spreadsheetml/2010/11/ac" url="\\soutwfs04.mcga.gov.uk\Downloads\eleanor.clarke\Downloads\"/>
    </mc:Choice>
  </mc:AlternateContent>
  <xr:revisionPtr revIDLastSave="0" documentId="14_{8B284473-8CDA-4FEC-91E3-78F8728636C6}" xr6:coauthVersionLast="43" xr6:coauthVersionMax="43" xr10:uidLastSave="{00000000-0000-0000-0000-000000000000}"/>
  <bookViews>
    <workbookView xWindow="-110" yWindow="-110" windowWidth="19420" windowHeight="10420" tabRatio="743" xr2:uid="{00000000-000D-0000-FFFF-FFFF00000000}"/>
  </bookViews>
  <sheets>
    <sheet name="Summary" sheetId="5" r:id="rId1"/>
    <sheet name="Vessel" sheetId="37" r:id="rId2"/>
    <sheet name="Voyage" sheetId="6" r:id="rId3"/>
    <sheet name="Waste" sheetId="1" r:id="rId4"/>
    <sheet name="Incoming Hazmat" sheetId="33" r:id="rId5"/>
    <sheet name="Outgoing Hazmat" sheetId="35" r:id="rId6"/>
    <sheet name="Security" sheetId="3" r:id="rId7"/>
    <sheet name="Notes" sheetId="31" r:id="rId8"/>
    <sheet name="Tmp data" sheetId="38" state="hidden" r:id="rId9"/>
    <sheet name="Reference data" sheetId="26" state="hidden" r:id="rId10"/>
    <sheet name="Validator" sheetId="39" state="hidden" r:id="rId11"/>
  </sheets>
  <definedNames>
    <definedName name="_xlnm._FilterDatabase" localSheetId="4" hidden="1">'Incoming Hazmat'!$C$12:$AE$263</definedName>
    <definedName name="_xlnm._FilterDatabase" localSheetId="5" hidden="1">'Outgoing Hazmat'!$C$12:$Y$263</definedName>
    <definedName name="_xlnm._FilterDatabase" localSheetId="9" hidden="1">'Reference data'!#REF!</definedName>
    <definedName name="Activity" localSheetId="4">'Reference data'!$AJ$2:$AJ$16</definedName>
    <definedName name="Activity" localSheetId="5">'Reference data'!$AJ$2:$AJ$16</definedName>
    <definedName name="BOOLEAN" localSheetId="4">'Reference data'!$AF$2:$AF$3</definedName>
    <definedName name="BOOLEAN" localSheetId="5">'Reference data'!$AF$2:$AF$3</definedName>
    <definedName name="Cargo_associated_waste" localSheetId="4">'Reference data'!$AC$2:$AC$4</definedName>
    <definedName name="Cargo_associated_waste" localSheetId="5">'Reference data'!$AC$2:$AC$4</definedName>
    <definedName name="Cargo_associated_waste">'Reference data'!$AC$2:$AC$4</definedName>
    <definedName name="Cargo_residues" localSheetId="4">'Reference data'!$AD$2:$AD$14</definedName>
    <definedName name="Cargo_residues" localSheetId="5">'Reference data'!$AD$2:$AD$14</definedName>
    <definedName name="Cargo_residues">'Reference data'!$AD$2:$AD$14</definedName>
    <definedName name="Garbage">'Reference data'!$AA$2:$AA$16</definedName>
    <definedName name="Hazmat_types">'Reference data'!$Q$2:$Q$3</definedName>
    <definedName name="IHZ_CON_EMAIL">'Incoming Hazmat'!$J$9:$K$9</definedName>
    <definedName name="IHZ_CON_FAX">'Incoming Hazmat'!$J$8:$J$8</definedName>
    <definedName name="IHZ_CON_FIRSTNAME">'Incoming Hazmat'!$G$7</definedName>
    <definedName name="IHZ_CON_LASTNAME">'Incoming Hazmat'!$G$8</definedName>
    <definedName name="IHZ_CON_LOCODE">'Incoming Hazmat'!$G$9</definedName>
    <definedName name="IHZ_CON_PHONE">'Incoming Hazmat'!$J$7:$J$7</definedName>
    <definedName name="IHZ_DET_DOCTYPE">'Incoming Hazmat'!$N$8:$S$8</definedName>
    <definedName name="IHZ_DET_HAZONBOARD">'Incoming Hazmat'!$D$6</definedName>
    <definedName name="IHZ_DET_INFSHIPCLA">'Incoming Hazmat'!$D$7</definedName>
    <definedName name="IHZ_DET_URL">'Incoming Hazmat'!$N$7:$S$7</definedName>
    <definedName name="IHZ_DOC_KEY">'Incoming Hazmat'!$C$265</definedName>
    <definedName name="IHZ_EMPTY_RES">Validator!$G$3</definedName>
    <definedName name="IHZ_HAZ_ADDITIONAL">'Incoming Hazmat'!$W$14:$W$263</definedName>
    <definedName name="IHZ_HAZ_AMOUNT">'Incoming Hazmat'!$AD$14:$AD$263</definedName>
    <definedName name="IHZ_HAZ_CONSIGNMENT">'Incoming Hazmat'!$C$14:$C$263</definedName>
    <definedName name="IHZ_HAZ_DGCLASSIFI">'Incoming Hazmat'!$J$14:$J$263</definedName>
    <definedName name="IHZ_HAZ_DPGREF">'Incoming Hazmat'!$I$14:$I$263</definedName>
    <definedName name="IHZ_HAZ_EMS">'Incoming Hazmat'!$X$14:$X$263</definedName>
    <definedName name="IHZ_HAZ_FLASHPOINT">'Incoming Hazmat'!$R$14:$R$263</definedName>
    <definedName name="IHZ_HAZ_IMOHAZARDC">'Incoming Hazmat'!$L$14:$L$263</definedName>
    <definedName name="IHZ_HAZ_ITEMS">'Incoming Hazmat'!$C$14:$AF$263</definedName>
    <definedName name="IHZ_HAZ_LOCATION">'Incoming Hazmat'!$AB$14:$AB$263</definedName>
    <definedName name="IHZ_HAZ_MARPOLCODE">'Incoming Hazmat'!$S$14:$S$263</definedName>
    <definedName name="IHZ_HAZ_NETGROSS">'Incoming Hazmat'!$AE$14:$AE$263</definedName>
    <definedName name="IHZ_HAZ_PACKAGECOD">'Incoming Hazmat'!$U$14:$U$263</definedName>
    <definedName name="IHZ_HAZ_PACKAGES">'Incoming Hazmat'!$AC$14:$AC$263</definedName>
    <definedName name="IHZ_HAZ_PACKINGGRO">'Incoming Hazmat'!$Q$14:$Q$263</definedName>
    <definedName name="IHZ_HAZ_PACTYPE">'Incoming Hazmat'!$T$14:$T$263</definedName>
    <definedName name="IHZ_HAZ_PORTOFDISCHARGE">'Incoming Hazmat'!$G$14:$G$263</definedName>
    <definedName name="IHZ_HAZ_PORTOFLOADING">'Incoming Hazmat'!$E$14:$E$263</definedName>
    <definedName name="IHZ_HAZ_SUBSIDIARY">'Incoming Hazmat'!$Y$14:$Y$263</definedName>
    <definedName name="IHZ_HAZ_TEUID">'Incoming Hazmat'!$AA$14:$AA$263</definedName>
    <definedName name="IHZ_HAZ_TEXTUALREF">'Incoming Hazmat'!$K$14:$K$263</definedName>
    <definedName name="IHZ_HAZ_TOTALPACKA">'Incoming Hazmat'!$V$14:$V$263</definedName>
    <definedName name="IHZ_HAZ_TOTAMOUNT">'Incoming Hazmat'!$N$14:$N$263</definedName>
    <definedName name="IHZ_HAZ_TOTNETGROSS">'Incoming Hazmat'!$O$14:$O$263</definedName>
    <definedName name="IHZ_HAZ_TOTUNIT">'Incoming Hazmat'!$P$14:$P$263</definedName>
    <definedName name="IHZ_HAZ_TRANSDOCID">'Incoming Hazmat'!$D$14:$D$263</definedName>
    <definedName name="IHZ_HAZ_UNIT">'Incoming Hazmat'!$AF$14:$AF$263</definedName>
    <definedName name="IHZ_HAZ_UNITTYPE">'Incoming Hazmat'!$Z$14:$Z$263</definedName>
    <definedName name="IHZ_HAZ_UNNUMBER">'Incoming Hazmat'!$M$14:$M$263</definedName>
    <definedName name="IHZ_LOCODE_LOOKUP" localSheetId="4">'Incoming Hazmat'!$W$9:$AA$9</definedName>
    <definedName name="IHZ_STATUS">Validator!$G$2</definedName>
    <definedName name="IHZ_VALID">Validator!$G$4</definedName>
    <definedName name="IHZ_VALID_RES">Validator!$H$1</definedName>
    <definedName name="IMO_Hazard_Class">'Reference data'!$H$2:$H$26</definedName>
    <definedName name="INF_ship_classes">'Reference data'!$G$2:$G$4</definedName>
    <definedName name="ISSC_types">'Reference data'!$R$2:$R$3</definedName>
    <definedName name="MARPOL_codes">'Reference data'!$L$2:$L$6</definedName>
    <definedName name="OHZ_CON_EMAIL">'Outgoing Hazmat'!$J$9:$J$9</definedName>
    <definedName name="OHZ_CON_FAX">'Outgoing Hazmat'!$J$8:$J$8</definedName>
    <definedName name="OHZ_CON_FIRSTNAME">'Outgoing Hazmat'!$G$7:$H$7</definedName>
    <definedName name="OHZ_CON_LASTNAME">'Outgoing Hazmat'!$G$8:$H$8</definedName>
    <definedName name="OHZ_CON_LOCODE">'Outgoing Hazmat'!$G$9:$H$9</definedName>
    <definedName name="OHZ_CON_PHONE">'Outgoing Hazmat'!$J$7:$J$7</definedName>
    <definedName name="OHZ_DET_DOCTYPE">'Outgoing Hazmat'!$N$8:$S$8</definedName>
    <definedName name="OHZ_DET_HAZONBOARD">'Outgoing Hazmat'!$D$6</definedName>
    <definedName name="OHZ_DET_INFSHIPCLA">'Outgoing Hazmat'!$D$7</definedName>
    <definedName name="OHZ_DET_URL">'Outgoing Hazmat'!$N$7:$S$7</definedName>
    <definedName name="OHZ_DOC_KEY">'Outgoing Hazmat'!$C$265</definedName>
    <definedName name="OHZ_EMPTY_RES">Validator!$J$3</definedName>
    <definedName name="OHZ_HAZ_ADDITIONAL">'Outgoing Hazmat'!$W$14:$W$263</definedName>
    <definedName name="OHZ_HAZ_AMOUNT">'Outgoing Hazmat'!$AD$14:$AD$263</definedName>
    <definedName name="OHZ_HAZ_CONSIGNMENT">'Outgoing Hazmat'!$C$14:$C$263</definedName>
    <definedName name="OHZ_HAZ_DGCLASSIFI">'Outgoing Hazmat'!$J$14:$J$263</definedName>
    <definedName name="OHZ_HAZ_DPGREF">'Outgoing Hazmat'!$I$14:$I$263</definedName>
    <definedName name="OHZ_HAZ_EMS">'Outgoing Hazmat'!$X$14:$X$263</definedName>
    <definedName name="OHZ_HAZ_FLASHPOINT">'Outgoing Hazmat'!$R$14:$R$263</definedName>
    <definedName name="OHZ_HAZ_IMOHAZARDC">'Outgoing Hazmat'!$L$14:$L$263</definedName>
    <definedName name="OHZ_HAZ_ITEMS">'Outgoing Hazmat'!$C$14:$AF$263</definedName>
    <definedName name="OHZ_HAZ_LOCATION">'Outgoing Hazmat'!$AB$14:$AB$263</definedName>
    <definedName name="OHZ_HAZ_MARPOLCODE">'Outgoing Hazmat'!$S$14:$S$263</definedName>
    <definedName name="OHZ_HAZ_NETGROSS">'Outgoing Hazmat'!$AE$14:$AE$263</definedName>
    <definedName name="OHZ_HAZ_PACKAGECOD">'Outgoing Hazmat'!$U$14:$U$263</definedName>
    <definedName name="OHZ_HAZ_PACKAGES">'Outgoing Hazmat'!$AC$14:$AC$263</definedName>
    <definedName name="OHZ_HAZ_PACKINGGRO">'Outgoing Hazmat'!$Q$14:$Q$263</definedName>
    <definedName name="OHZ_HAZ_PACTYPE">'Outgoing Hazmat'!$T$14:$T$263</definedName>
    <definedName name="OHZ_HAZ_PORTOFDISCHARGE">'Outgoing Hazmat'!$G$14:$G$263</definedName>
    <definedName name="OHZ_HAZ_PORTOFLOADING">'Outgoing Hazmat'!$E$14:$E$263</definedName>
    <definedName name="OHZ_HAZ_SUBSIDIARY">'Outgoing Hazmat'!$Y$14:$Y$263</definedName>
    <definedName name="OHZ_HAZ_TEUID">'Outgoing Hazmat'!$AA$14:$AA$263</definedName>
    <definedName name="OHZ_HAZ_TEXTUALREF">'Outgoing Hazmat'!$K$14:$K$263</definedName>
    <definedName name="OHZ_HAZ_TOTALPACKA">'Outgoing Hazmat'!$V$14:$V$263</definedName>
    <definedName name="OHZ_HAZ_TOTAMOUNT">'Outgoing Hazmat'!$N$14:$N$263</definedName>
    <definedName name="OHZ_HAZ_TOTNETGROSS">'Outgoing Hazmat'!$O$14:$O$263</definedName>
    <definedName name="OHZ_HAZ_TOTUNIT">'Outgoing Hazmat'!$P$14:$P$263</definedName>
    <definedName name="OHZ_HAZ_TRANSDOCID">'Outgoing Hazmat'!$D$14:$D$26663</definedName>
    <definedName name="OHZ_HAZ_UNIT">'Outgoing Hazmat'!$AF$14:$AF$263</definedName>
    <definedName name="OHZ_HAZ_UNITTYPE">'Outgoing Hazmat'!$Z$14:$Z$263</definedName>
    <definedName name="OHZ_HAZ_UNNUMBER">'Outgoing Hazmat'!$M$14:$M$263</definedName>
    <definedName name="OHZ_LOCODE_LOOKUP" localSheetId="4">'Outgoing Hazmat'!$W$9</definedName>
    <definedName name="OHZ_LOCODE_LOOKUP" localSheetId="5">'Outgoing Hazmat'!$W$9</definedName>
    <definedName name="OHZ_STATUS">Validator!$J$2</definedName>
    <definedName name="OHZ_VALID">Validator!$J$4</definedName>
    <definedName name="OHZ_VALID_RES">Validator!$K$1</definedName>
    <definedName name="On_off">'Reference data'!$D$2:$D$3</definedName>
    <definedName name="Package_type_code">'Reference data'!$K$2:$K$139</definedName>
    <definedName name="Package_type_name">'Reference data'!$J$2:$J$139</definedName>
    <definedName name="_xlnm.Print_Area" localSheetId="4">'Incoming Hazmat'!$B$2:$AG$263</definedName>
    <definedName name="_xlnm.Print_Area" localSheetId="7">Notes!$B$2:$I$37</definedName>
    <definedName name="_xlnm.Print_Area" localSheetId="5">'Outgoing Hazmat'!$A$2:$AG$263</definedName>
    <definedName name="_xlnm.Print_Area" localSheetId="6">Security!$A$2:$X$63</definedName>
    <definedName name="_xlnm.Print_Area" localSheetId="0">Summary!$B$2:$K$116</definedName>
    <definedName name="_xlnm.Print_Area" localSheetId="1">Vessel!$B$2:$I$33</definedName>
    <definedName name="_xlnm.Print_Area" localSheetId="2">Voyage!$B$2:$J$38</definedName>
    <definedName name="_xlnm.Print_Area" localSheetId="3">Waste!$B$2:$Y$64</definedName>
    <definedName name="REF_ACTIVITY">'Reference data'!$AJ$2:$AJ$16</definedName>
    <definedName name="REF_COUNTRIES">REF_COUNTRIES_CODES[Country name]</definedName>
    <definedName name="REF_DG_CLASSIFICATION">'Reference data'!$B$2:$B$6</definedName>
    <definedName name="REF_DOCTYPES">'Reference data'!$AE$2:$AE$7</definedName>
    <definedName name="REF_ISSUER_TYPE">'Reference data'!$C$2:$C$3</definedName>
    <definedName name="REF_PACKING_GROUP">'Reference data'!$I$2:$I$5</definedName>
    <definedName name="REF_PURPOSES">'Reference data'!$A$2:$A$27</definedName>
    <definedName name="REF_SECURITYLEVELS_OPTIONS">'Reference data'!$E$2:$E$4</definedName>
    <definedName name="REF_UK_LOCODES">'Reference data'!$AM$2:$AM$330</definedName>
    <definedName name="REF_UK_LOCODES_PORTNAMES">'Reference data'!$AM$2:$AN$330</definedName>
    <definedName name="REF_UK_PORTNAMES">'Reference data'!$AN$3:$AN$330</definedName>
    <definedName name="REF_UNITS">'Reference data'!$T$2:$T$4</definedName>
    <definedName name="REF_YES_NO">'Reference data'!$F$2:$F$3</definedName>
    <definedName name="SEC_AGENT_EMAIL">Security!$L$16</definedName>
    <definedName name="SEC_AGENT_FAX">Security!$L$15</definedName>
    <definedName name="SEC_AGENT_NAME">Security!$L$13</definedName>
    <definedName name="SEC_AGENT_PHONE">Security!$L$14</definedName>
    <definedName name="SEC_AVD_LASTUKVISIT">Security!$E$28</definedName>
    <definedName name="SEC_AVD_REPSHIPLOC">Security!$B$30</definedName>
    <definedName name="SEC_CAR_BRIEFCARGO">Security!$P$16</definedName>
    <definedName name="SEC_CSO_EMAIL">Security!$L$10</definedName>
    <definedName name="SEC_CSO_FAX">Security!$L$9</definedName>
    <definedName name="SEC_CSO_FIRSTNAME">Security!$L$6</definedName>
    <definedName name="SEC_CSO_LASTNAME">Security!$L$7</definedName>
    <definedName name="SEC_CSO_PHONE">Security!$L$8</definedName>
    <definedName name="SEC_CURRENTSEC">Security!$S$8</definedName>
    <definedName name="SEC_DOC_KEY">Security!$C$64</definedName>
    <definedName name="SEC_EMPTY_RES">Validator!$A$3</definedName>
    <definedName name="SEC_ISSC_EXPIRY">Security!$L$26</definedName>
    <definedName name="SEC_ISSC_ISSUER">Security!$L$24</definedName>
    <definedName name="SEC_ISSC_ISSUERTYPE">Security!$L$23</definedName>
    <definedName name="SEC_ISSC_ISVALID">Security!$L$27</definedName>
    <definedName name="SEC_ISSC_NUMBER">Security!$L$22</definedName>
    <definedName name="SEC_ISSC_REASON">Security!$I$29</definedName>
    <definedName name="SEC_ISSC_TYPE">Security!$L$21</definedName>
    <definedName name="SEC_LAST_COUNTRY">Security!$E$36:$E$46</definedName>
    <definedName name="SEC_LAST_DATEOFARRI">Security!$C$36:$C$46</definedName>
    <definedName name="SEC_LAST_DATEOFDEPT">Security!$D$36:$D$46</definedName>
    <definedName name="SEC_LAST_FACNAME">Security!$L$36:$L$46</definedName>
    <definedName name="SEC_LAST_MEASURESYORN">Security!$N$36:$P$46</definedName>
    <definedName name="SEC_LAST_PORT">Security!$F$36:$F$46</definedName>
    <definedName name="SEC_LAST_PORTCALLNO">Security!$B$36:$B$45</definedName>
    <definedName name="SEC_LAST_PORTFAC">Security!$G$36:$G$46</definedName>
    <definedName name="SEC_LAST_SECLEVEL">Security!$M$36:$M$46</definedName>
    <definedName name="SEC_LAST_SECMEASURE">Security!$Q$36:$S$46</definedName>
    <definedName name="SEC_LOC_LOCATION">Security!$B$28</definedName>
    <definedName name="SEC_LOCODE_LOOKUP">Security!$V$9</definedName>
    <definedName name="SEC_PAS_CREWLIST">Security!$S$14</definedName>
    <definedName name="SEC_PAS_PASSENGERS">Security!$S$13</definedName>
    <definedName name="SEC_PASSCREWTA">Security!$P$13:$S$14</definedName>
    <definedName name="SEC_PASSENGERCREWLIST">Security!$P$13:$S$14</definedName>
    <definedName name="SEC_PURPOSE">Security!$P$29</definedName>
    <definedName name="SEC_REG_REGCOMPIMO">Security!$E$24</definedName>
    <definedName name="SEC_REG_REGCOMPNAM">Security!$E$23</definedName>
    <definedName name="SEC_REG_REGDATE">Security!$E$21</definedName>
    <definedName name="SEC_REG_REGNUMBER">Security!$E$22</definedName>
    <definedName name="SEC_RELATEDMAT">Security!$P$21</definedName>
    <definedName name="SEC_RSM_DESC">Security!$P$23</definedName>
    <definedName name="SEC_RSM_RSM">Security!$S$21</definedName>
    <definedName name="SEC_SECURITYPL">Security!$S$9</definedName>
    <definedName name="SEC_SHIP_ACTIVITY">Security!$J$50:$L$59</definedName>
    <definedName name="SEC_SHIP_DATEFROM">Security!$C$50:$C$59</definedName>
    <definedName name="SEC_SHIP_DATETO">Security!$D$50:$D$59</definedName>
    <definedName name="SEC_SHIP_LATITUDE">Security!$E$50:$E$59</definedName>
    <definedName name="SEC_SHIP_LOCATION">Security!$G$50:$I$59</definedName>
    <definedName name="SEC_SHIP_LONGITUDE">Security!$F$50:$F$59</definedName>
    <definedName name="SEC_SHIP_MEASURESYORN">Security!$M$50:$N$59</definedName>
    <definedName name="SEC_SHIP_SECURITYME">Security!$O$50:$S$59</definedName>
    <definedName name="SEC_SHIP_SHIPNO">Security!$B$50:$B$59</definedName>
    <definedName name="SEC_SRC_SOURCE">Security!$S$6</definedName>
    <definedName name="SEC_SRC_UPDATED">Security!$S$7</definedName>
    <definedName name="SEC_STATUS">Validator!$A$2</definedName>
    <definedName name="SEC_VALID">Validator!$A$4</definedName>
    <definedName name="SEC_VALID_RES">Validator!$B$1</definedName>
    <definedName name="SEC_VDE_GROSSTONNA">Security!$E$13</definedName>
    <definedName name="SEC_VDE_REGLOCODE">Security!$E$17</definedName>
    <definedName name="SEC_VDE_REGPORT">Security!$E$18</definedName>
    <definedName name="SEC_VDE_SHIPCODE">Security!$E$15</definedName>
    <definedName name="SEC_VDE_SHIPTYPE">Security!$E$14</definedName>
    <definedName name="SEC_VID_CALLSIGN">Security!$E$8</definedName>
    <definedName name="SEC_VID_FLAG">Security!$E$10</definedName>
    <definedName name="SEC_VID_IMO">Security!$E$6</definedName>
    <definedName name="SEC_VID_MMSI">Security!$E$9</definedName>
    <definedName name="SEC_VID_SHIPNAME">Security!$E$7</definedName>
    <definedName name="Sewage">'Reference data'!$AB$2:$AB$2</definedName>
    <definedName name="Ship_configurations">'Reference data'!$M$2:$M$4</definedName>
    <definedName name="Ship_types">'Reference data'!$N$2:$N$90</definedName>
    <definedName name="SUM_DOC_KEY">Summary!$C$117</definedName>
    <definedName name="SUM_DOC_UPDATED">Summary!$K$21</definedName>
    <definedName name="SUM_DOC_UPDATEDNAME">Summary!$K$22</definedName>
    <definedName name="SUM_DOC_VERSION">Summary!$K$20</definedName>
    <definedName name="SUM_INCLUDE_IHZ">Summary!$C$23</definedName>
    <definedName name="SUM_INCLUDE_OHZ">Summary!$C$24</definedName>
    <definedName name="SUM_INCLUDE_SEC">Summary!$C$25</definedName>
    <definedName name="SUM_INCLUDE_VES">Summary!$C$20</definedName>
    <definedName name="SUM_INCLUDE_VOY">Summary!$C$21</definedName>
    <definedName name="SUM_INCLUDE_WAS">Summary!$C$22</definedName>
    <definedName name="SUM_OSVERSION">Summary!$E$117</definedName>
    <definedName name="SUM_OVE_VALID">Summary!$D$29</definedName>
    <definedName name="SUM_OVR_RES">Summary!$B$31</definedName>
    <definedName name="SUM_RELEASE">Summary!$F$117</definedName>
    <definedName name="SUM_SRC_EMAIL">Summary!$H$20</definedName>
    <definedName name="SUM_SRC_SOURCE">Summary!$H$21</definedName>
    <definedName name="SUM_SRC_UPDATED">Summary!$H$22</definedName>
    <definedName name="SUM_SYSTEM">Summary!$D$117</definedName>
    <definedName name="TMP_SUM_ALLOW">'Tmp data'!$C$8:$C$9</definedName>
    <definedName name="TMP_SUM_VAL">NOT(ISBLANK('Tmp data'!$C$9:$C$9))</definedName>
    <definedName name="TMP_SUM_WRITEVALID">'Tmp data'!$C$6:$C$7</definedName>
    <definedName name="TMP_VDE_REGPORT">'Tmp data'!$C$2</definedName>
    <definedName name="TMP_VOY_LASTPORT">'Tmp data'!$C$3</definedName>
    <definedName name="TMP_VOY_NEXTPORT">'Tmp data'!$C$4</definedName>
    <definedName name="TMP_VOY_PORTOFCALL">'Tmp data'!$C$5</definedName>
    <definedName name="Units_description">'Reference data'!$U$2:$U$4</definedName>
    <definedName name="VES_DOC_KEY">Vessel!$C$35</definedName>
    <definedName name="VES_EMPTY_RES">Validator!$M$3</definedName>
    <definedName name="VES_INMARSAT">Vessel!$D$27:$D$31</definedName>
    <definedName name="VES_REG_REGCOMPIMO">Vessel!$D$24</definedName>
    <definedName name="VES_REG_REGCOMPNAM">Vessel!$D$23</definedName>
    <definedName name="VES_REG_REGDATE">Vessel!$D$21</definedName>
    <definedName name="VES_REG_REGNUMBER">Vessel!$D$22</definedName>
    <definedName name="VES_STATUS">Validator!$M$2</definedName>
    <definedName name="VES_VALID">Validator!$M$4</definedName>
    <definedName name="VES_VALID_RES">Validator!$N$1</definedName>
    <definedName name="VES_VDE_GROSSTONNA">Vessel!$D$13</definedName>
    <definedName name="VES_VDE_REGLOCODE">Vessel!$D$17</definedName>
    <definedName name="VES_VDE_REGPORT">Vessel!$D$18</definedName>
    <definedName name="VES_VDE_SHIPCODE">Vessel!$D$15</definedName>
    <definedName name="VES_VDE_SHIPTYPE">Vessel!$D$14</definedName>
    <definedName name="VES_VID_CALLSIGN">Vessel!$D$8</definedName>
    <definedName name="VES_VID_FLAG">Vessel!$D$10</definedName>
    <definedName name="VES_VID_IMO">Vessel!$D$6</definedName>
    <definedName name="VES_VID_MMSI">Vessel!$D$9</definedName>
    <definedName name="VES_VID_SHIPNAME">Vessel!$D$7</definedName>
    <definedName name="VOY_ARR_ANCHORAGE">Voyage!$C$34</definedName>
    <definedName name="VOY_ARR_ATA">Voyage!$C$33</definedName>
    <definedName name="VOY_DEP_ATD">Voyage!$G$29</definedName>
    <definedName name="VOY_DEP_POBNEXTPOC">Voyage!$G$30</definedName>
    <definedName name="VOY_DOC_KEY">Voyage!$C$37</definedName>
    <definedName name="VOY_EMPTY_RES">Validator!$P$3</definedName>
    <definedName name="VOY_POBPOC">Voyage!$C$29</definedName>
    <definedName name="VOY_PURPOSES">Voyage!$G$6:$G$20</definedName>
    <definedName name="VOY_STATUS">Validator!$P$2</definedName>
    <definedName name="VOY_TOTALPURPO">Voyage!$G$21</definedName>
    <definedName name="VOY_VALID">Validator!$P$4</definedName>
    <definedName name="VOY_VALID_RES">Validator!$Q$1</definedName>
    <definedName name="VOY_VOY_BRIEFCARGO">Voyage!$C$21</definedName>
    <definedName name="VOY_VOY_ETA">Voyage!$C$11</definedName>
    <definedName name="VOY_VOY_ETATONEXTP">Voyage!$C$20</definedName>
    <definedName name="VOY_VOY_ETD">Voyage!$C$12</definedName>
    <definedName name="VOY_VOY_ETDFROMPOC">Voyage!$C$16</definedName>
    <definedName name="VOY_VOY_LASTPORT">Voyage!$C$15</definedName>
    <definedName name="VOY_VOY_NEXTPORT">Voyage!$C$19</definedName>
    <definedName name="VOY_VOY_PORTFACILI">Voyage!$C$9</definedName>
    <definedName name="VOY_VOY_PORTOFCALL">Voyage!$C$8</definedName>
    <definedName name="VOY_VOY_POSIINPORT">Voyage!$C$10</definedName>
    <definedName name="WAS_DOC_KEY">Waste!$C$71</definedName>
    <definedName name="WAS_EMPTY_RES">Validator!$D$3</definedName>
    <definedName name="WAS_ITE_CATEGORY">Waste!$B$24:$B$69</definedName>
    <definedName name="WAS_ITE_DELIVERED">Waste!$J$24:$J$69</definedName>
    <definedName name="WAS_ITE_DELIVEREDU">Waste!$K$24:$K$69</definedName>
    <definedName name="WAS_ITE_GENERATED">Waste!$U$24:$U$69</definedName>
    <definedName name="WAS_ITE_GENERATEDU">Waste!$V$24:$W$69</definedName>
    <definedName name="WAS_ITE_MAXSTORAG">Waste!$L$24:$M$69</definedName>
    <definedName name="WAS_ITE_MAXSTORAGU">Waste!$N$24:$N$69</definedName>
    <definedName name="WAS_ITE_REMAINING">Waste!$R$24:$R$69</definedName>
    <definedName name="WAS_ITE_RETAINED">Waste!$O$24:$P$69</definedName>
    <definedName name="WAS_ITE_RETAINEDU">Waste!$Q$24:$Q$69</definedName>
    <definedName name="WAS_ITE_TYPE">Waste!$C$24:$F$69</definedName>
    <definedName name="WAS_ITE_TYPECODE">Waste!$B$24:$B$69</definedName>
    <definedName name="WAS_ITE_TYPEDESCRI">Waste!$G$24:$I$69</definedName>
    <definedName name="WAS_LOC_LOCNAME">Waste!$J$9</definedName>
    <definedName name="WAS_LOC_LOCODE">Waste!$J$7</definedName>
    <definedName name="WAS_LOCODE_LOOKUP">Waste!$S$10</definedName>
    <definedName name="WAS_OVE_LASTDATE">Waste!$D$17</definedName>
    <definedName name="WAS_OVE_LASTPORT">Waste!$D$15</definedName>
    <definedName name="WAS_OVE_STATUS">Waste!$D$18</definedName>
    <definedName name="WAS_STATUS">Validator!$D$2</definedName>
    <definedName name="WAS_VALID">Validator!$D$4</definedName>
    <definedName name="WAS_VALID_RES">Validator!$E$1</definedName>
    <definedName name="WAS_VID_CALLSIGN">Waste!$D$9</definedName>
    <definedName name="WAS_VID_FLAG">Waste!$D$11</definedName>
    <definedName name="WAS_VID_IMO">Waste!$D$7</definedName>
    <definedName name="WAS_VID_MMSI">Waste!$D$10</definedName>
    <definedName name="WAS_VID_SHIPNAME">Waste!$D$8</definedName>
    <definedName name="WAS_VOY_ETATONEXTP">Waste!$Q$18</definedName>
    <definedName name="WAS_VOY_ETDFROMPOC">Waste!$I$18</definedName>
    <definedName name="WAS_VOY_LASTPORT">Waste!$I$17</definedName>
    <definedName name="WAS_VOY_NEXTPORT">Waste!$Q$17</definedName>
    <definedName name="Waste_Categories">'Reference data'!$Y$2:$Y$6</definedName>
    <definedName name="Waste_delivery_status">'Reference data'!$S$2:$S$4</definedName>
    <definedName name="Waste_oils">'Reference data'!$Z$2:$Z$5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63" i="35" l="1"/>
  <c r="B15" i="35"/>
  <c r="B16" i="35"/>
  <c r="B17" i="35"/>
  <c r="B18" i="35"/>
  <c r="B19" i="35"/>
  <c r="B20" i="35"/>
  <c r="B21" i="35"/>
  <c r="B22" i="35"/>
  <c r="B23" i="35"/>
  <c r="B24" i="35"/>
  <c r="B25" i="35"/>
  <c r="B26" i="35"/>
  <c r="B27" i="35"/>
  <c r="B28" i="35"/>
  <c r="B29" i="35"/>
  <c r="B30" i="35"/>
  <c r="B31" i="35"/>
  <c r="B32" i="35"/>
  <c r="B33" i="35"/>
  <c r="B34" i="35"/>
  <c r="B35" i="35"/>
  <c r="B36" i="35"/>
  <c r="B37" i="35"/>
  <c r="B38" i="35"/>
  <c r="B39" i="35"/>
  <c r="B40" i="35"/>
  <c r="B41" i="35"/>
  <c r="B42" i="35"/>
  <c r="B43" i="35"/>
  <c r="B44" i="35"/>
  <c r="B45" i="35"/>
  <c r="B46" i="35"/>
  <c r="B47" i="35"/>
  <c r="B48" i="35"/>
  <c r="B49" i="35"/>
  <c r="B50" i="35"/>
  <c r="B51" i="35"/>
  <c r="B52" i="35"/>
  <c r="B53" i="35"/>
  <c r="B54" i="35"/>
  <c r="B55" i="35"/>
  <c r="B56" i="35"/>
  <c r="B57" i="35"/>
  <c r="B58" i="35"/>
  <c r="B59" i="35"/>
  <c r="B60" i="35"/>
  <c r="B61" i="35"/>
  <c r="B62" i="35"/>
  <c r="B63" i="35"/>
  <c r="B64" i="35"/>
  <c r="B65" i="35"/>
  <c r="B66" i="35"/>
  <c r="B67" i="35"/>
  <c r="B68" i="35"/>
  <c r="B69" i="35"/>
  <c r="B70" i="35"/>
  <c r="B71" i="35"/>
  <c r="B72" i="35"/>
  <c r="B73" i="35"/>
  <c r="B74" i="35"/>
  <c r="B75" i="35"/>
  <c r="B76" i="35"/>
  <c r="B77" i="35"/>
  <c r="B78" i="35"/>
  <c r="B79" i="35"/>
  <c r="B80" i="35"/>
  <c r="B81" i="35"/>
  <c r="B82" i="35"/>
  <c r="B83" i="35"/>
  <c r="B84" i="35"/>
  <c r="B85" i="35"/>
  <c r="B86" i="35"/>
  <c r="B87" i="35"/>
  <c r="B88" i="35"/>
  <c r="B89" i="35"/>
  <c r="B90" i="35"/>
  <c r="B91" i="35"/>
  <c r="B92" i="35"/>
  <c r="B93" i="35"/>
  <c r="B94" i="35"/>
  <c r="B95" i="35"/>
  <c r="B96" i="35"/>
  <c r="B97" i="35"/>
  <c r="B98" i="35"/>
  <c r="B99" i="35"/>
  <c r="B100" i="35"/>
  <c r="B101" i="35"/>
  <c r="B102" i="35"/>
  <c r="B103" i="35"/>
  <c r="B104" i="35"/>
  <c r="B105" i="35"/>
  <c r="B106" i="35"/>
  <c r="B107" i="35"/>
  <c r="B108" i="35"/>
  <c r="B109" i="35"/>
  <c r="B110" i="35"/>
  <c r="B111" i="35"/>
  <c r="B112" i="35"/>
  <c r="B113" i="35"/>
  <c r="B114" i="35"/>
  <c r="B115" i="35"/>
  <c r="B116" i="35"/>
  <c r="B117" i="35"/>
  <c r="B118" i="35"/>
  <c r="B119" i="35"/>
  <c r="B120" i="35"/>
  <c r="B121" i="35"/>
  <c r="B122" i="35"/>
  <c r="B123" i="35"/>
  <c r="B124" i="35"/>
  <c r="B125" i="35"/>
  <c r="B126" i="35"/>
  <c r="B127" i="35"/>
  <c r="B128" i="35"/>
  <c r="B129" i="35"/>
  <c r="B130" i="35"/>
  <c r="B131" i="35"/>
  <c r="B132" i="35"/>
  <c r="B133" i="35"/>
  <c r="B134" i="35"/>
  <c r="B135" i="35"/>
  <c r="B136" i="35"/>
  <c r="B137" i="35"/>
  <c r="B138" i="35"/>
  <c r="B139" i="35"/>
  <c r="B140" i="35"/>
  <c r="B141" i="35"/>
  <c r="B142" i="35"/>
  <c r="B143" i="35"/>
  <c r="B144" i="35"/>
  <c r="B145" i="35"/>
  <c r="B146" i="35"/>
  <c r="B147" i="35"/>
  <c r="B148" i="35"/>
  <c r="B149" i="35"/>
  <c r="B150" i="35"/>
  <c r="B151" i="35"/>
  <c r="B152" i="35"/>
  <c r="B153" i="35"/>
  <c r="B154" i="35"/>
  <c r="B155" i="35"/>
  <c r="B156" i="35"/>
  <c r="B157" i="35"/>
  <c r="B158" i="35"/>
  <c r="B159" i="35"/>
  <c r="B160" i="35"/>
  <c r="B161" i="35"/>
  <c r="B162" i="35"/>
  <c r="B163" i="35"/>
  <c r="B164" i="35"/>
  <c r="B165" i="35"/>
  <c r="B166" i="35"/>
  <c r="B167" i="35"/>
  <c r="B168" i="35"/>
  <c r="B169" i="35"/>
  <c r="B170" i="35"/>
  <c r="B171" i="35"/>
  <c r="B172" i="35"/>
  <c r="B173" i="35"/>
  <c r="B174" i="35"/>
  <c r="B175" i="35"/>
  <c r="B176" i="35"/>
  <c r="B177" i="35"/>
  <c r="B178" i="35"/>
  <c r="B179" i="35"/>
  <c r="B180" i="35"/>
  <c r="B181" i="35"/>
  <c r="B182" i="35"/>
  <c r="B183" i="35"/>
  <c r="B184" i="35"/>
  <c r="B185" i="35"/>
  <c r="B186" i="35"/>
  <c r="B187" i="35"/>
  <c r="B188" i="35"/>
  <c r="B189" i="35"/>
  <c r="B190" i="35"/>
  <c r="B191" i="35"/>
  <c r="B192" i="35"/>
  <c r="B193" i="35"/>
  <c r="B194" i="35"/>
  <c r="B195" i="35"/>
  <c r="B196" i="35"/>
  <c r="B197" i="35"/>
  <c r="B198" i="35"/>
  <c r="B199" i="35"/>
  <c r="B200" i="35"/>
  <c r="B201" i="35"/>
  <c r="B202" i="35"/>
  <c r="B203" i="35"/>
  <c r="B204" i="35"/>
  <c r="B205" i="35"/>
  <c r="B206" i="35"/>
  <c r="B207" i="35"/>
  <c r="B208" i="35"/>
  <c r="B209" i="35"/>
  <c r="B210" i="35"/>
  <c r="B211" i="35"/>
  <c r="B212" i="35"/>
  <c r="B213" i="35"/>
  <c r="B214" i="35"/>
  <c r="B215" i="35"/>
  <c r="B216" i="35"/>
  <c r="B217" i="35"/>
  <c r="B218" i="35"/>
  <c r="B219" i="35"/>
  <c r="B220" i="35"/>
  <c r="B221" i="35"/>
  <c r="B222" i="35"/>
  <c r="B223" i="35"/>
  <c r="B224" i="35"/>
  <c r="B225" i="35"/>
  <c r="B226" i="35"/>
  <c r="B227" i="35"/>
  <c r="B228" i="35"/>
  <c r="B229" i="35"/>
  <c r="B230" i="35"/>
  <c r="B231" i="35"/>
  <c r="B232" i="35"/>
  <c r="B233" i="35"/>
  <c r="B234" i="35"/>
  <c r="B235" i="35"/>
  <c r="B236" i="35"/>
  <c r="B237" i="35"/>
  <c r="B238" i="35"/>
  <c r="B239" i="35"/>
  <c r="B240" i="35"/>
  <c r="B241" i="35"/>
  <c r="B242" i="35"/>
  <c r="B243" i="35"/>
  <c r="B244" i="35"/>
  <c r="B245" i="35"/>
  <c r="B246" i="35"/>
  <c r="B247" i="35"/>
  <c r="B248" i="35"/>
  <c r="B249" i="35"/>
  <c r="B250" i="35"/>
  <c r="B251" i="35"/>
  <c r="B252" i="35"/>
  <c r="B253" i="35"/>
  <c r="B254" i="35"/>
  <c r="B255" i="35"/>
  <c r="B256" i="35"/>
  <c r="B257" i="35"/>
  <c r="B258" i="35"/>
  <c r="B259" i="35"/>
  <c r="B260" i="35"/>
  <c r="B261" i="35"/>
  <c r="B262" i="35"/>
  <c r="B14" i="35"/>
  <c r="B15" i="33"/>
  <c r="B16" i="33"/>
  <c r="B17" i="33"/>
  <c r="B18" i="33"/>
  <c r="B19" i="33"/>
  <c r="B20" i="33"/>
  <c r="B21" i="33"/>
  <c r="B22"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B102" i="33"/>
  <c r="B103" i="33"/>
  <c r="B104" i="33"/>
  <c r="B105" i="33"/>
  <c r="B106" i="33"/>
  <c r="B107" i="33"/>
  <c r="B108" i="33"/>
  <c r="B109" i="33"/>
  <c r="B110" i="33"/>
  <c r="B111" i="33"/>
  <c r="B112" i="33"/>
  <c r="B113" i="33"/>
  <c r="B114" i="33"/>
  <c r="B115" i="33"/>
  <c r="B116" i="33"/>
  <c r="B117" i="33"/>
  <c r="B118" i="33"/>
  <c r="B119" i="33"/>
  <c r="B120" i="33"/>
  <c r="B121" i="33"/>
  <c r="B122" i="33"/>
  <c r="B123" i="33"/>
  <c r="B124" i="33"/>
  <c r="B125" i="33"/>
  <c r="B126" i="33"/>
  <c r="B127" i="33"/>
  <c r="B128" i="33"/>
  <c r="B129" i="33"/>
  <c r="B130" i="33"/>
  <c r="B131" i="33"/>
  <c r="B132" i="33"/>
  <c r="B133" i="33"/>
  <c r="B134" i="33"/>
  <c r="B135" i="33"/>
  <c r="B136" i="33"/>
  <c r="B137" i="33"/>
  <c r="B138" i="33"/>
  <c r="B139" i="33"/>
  <c r="B140" i="33"/>
  <c r="B141" i="33"/>
  <c r="B142" i="33"/>
  <c r="B143" i="33"/>
  <c r="B144" i="33"/>
  <c r="B145" i="33"/>
  <c r="B146" i="33"/>
  <c r="B147" i="33"/>
  <c r="B148" i="33"/>
  <c r="B149" i="33"/>
  <c r="B150" i="33"/>
  <c r="B151" i="33"/>
  <c r="B152" i="33"/>
  <c r="B153" i="33"/>
  <c r="B154" i="33"/>
  <c r="B155" i="33"/>
  <c r="B156" i="33"/>
  <c r="B157" i="33"/>
  <c r="B158" i="33"/>
  <c r="B159" i="33"/>
  <c r="B160" i="33"/>
  <c r="B161" i="33"/>
  <c r="B162" i="33"/>
  <c r="B163" i="33"/>
  <c r="B164" i="33"/>
  <c r="B165" i="33"/>
  <c r="B166" i="33"/>
  <c r="B167" i="33"/>
  <c r="B168" i="33"/>
  <c r="B169" i="33"/>
  <c r="B170" i="33"/>
  <c r="B171" i="33"/>
  <c r="B172" i="33"/>
  <c r="B173" i="33"/>
  <c r="B174" i="33"/>
  <c r="B175" i="33"/>
  <c r="B176" i="33"/>
  <c r="B177" i="33"/>
  <c r="B178" i="33"/>
  <c r="B179" i="33"/>
  <c r="B180" i="33"/>
  <c r="B181" i="33"/>
  <c r="B182" i="33"/>
  <c r="B183" i="33"/>
  <c r="B184" i="33"/>
  <c r="B185" i="33"/>
  <c r="B186" i="33"/>
  <c r="B187" i="33"/>
  <c r="B188" i="33"/>
  <c r="B189" i="33"/>
  <c r="B190" i="33"/>
  <c r="B191" i="33"/>
  <c r="B192" i="33"/>
  <c r="B193" i="33"/>
  <c r="B194" i="33"/>
  <c r="B195" i="33"/>
  <c r="B196" i="33"/>
  <c r="B197" i="33"/>
  <c r="B198" i="33"/>
  <c r="B199" i="33"/>
  <c r="B200" i="33"/>
  <c r="B201" i="33"/>
  <c r="B202" i="33"/>
  <c r="B203" i="33"/>
  <c r="B204" i="33"/>
  <c r="B205" i="33"/>
  <c r="B206" i="33"/>
  <c r="B207" i="33"/>
  <c r="B208" i="33"/>
  <c r="B209" i="33"/>
  <c r="B210" i="33"/>
  <c r="B211" i="33"/>
  <c r="B212" i="33"/>
  <c r="B213" i="33"/>
  <c r="B214" i="33"/>
  <c r="B215" i="33"/>
  <c r="B216" i="33"/>
  <c r="B217" i="33"/>
  <c r="B218" i="33"/>
  <c r="B219" i="33"/>
  <c r="B220" i="33"/>
  <c r="B221" i="33"/>
  <c r="B222" i="33"/>
  <c r="B223" i="33"/>
  <c r="B224" i="33"/>
  <c r="B225" i="33"/>
  <c r="B226" i="33"/>
  <c r="B227" i="33"/>
  <c r="B228" i="33"/>
  <c r="B229" i="33"/>
  <c r="B230" i="33"/>
  <c r="B231" i="33"/>
  <c r="B232" i="33"/>
  <c r="B233" i="33"/>
  <c r="B234" i="33"/>
  <c r="B235" i="33"/>
  <c r="B236" i="33"/>
  <c r="B237" i="33"/>
  <c r="B238" i="33"/>
  <c r="B239" i="33"/>
  <c r="B240" i="33"/>
  <c r="B241" i="33"/>
  <c r="B242" i="33"/>
  <c r="B243" i="33"/>
  <c r="B244" i="33"/>
  <c r="B245" i="33"/>
  <c r="B246" i="33"/>
  <c r="B247" i="33"/>
  <c r="B248" i="33"/>
  <c r="B249" i="33"/>
  <c r="B250" i="33"/>
  <c r="B251" i="33"/>
  <c r="B252" i="33"/>
  <c r="B253" i="33"/>
  <c r="B254" i="33"/>
  <c r="B255" i="33"/>
  <c r="B256" i="33"/>
  <c r="B257" i="33"/>
  <c r="B258" i="33"/>
  <c r="B259" i="33"/>
  <c r="B260" i="33"/>
  <c r="B261" i="33"/>
  <c r="B262" i="33"/>
  <c r="X69" i="1"/>
  <c r="X68" i="1"/>
  <c r="X67" i="1"/>
  <c r="D54" i="39" l="1"/>
  <c r="D55" i="39"/>
  <c r="D56" i="39"/>
  <c r="D57" i="39"/>
  <c r="D59" i="39"/>
  <c r="D61" i="39"/>
  <c r="D62" i="39"/>
  <c r="D63" i="39"/>
  <c r="D64" i="39"/>
  <c r="D65" i="39"/>
  <c r="D66" i="39"/>
  <c r="D67" i="39"/>
  <c r="D68" i="39"/>
  <c r="D69" i="39"/>
  <c r="D70" i="39"/>
  <c r="D71" i="39"/>
  <c r="D72" i="39"/>
  <c r="D73" i="39"/>
  <c r="D74" i="39"/>
  <c r="D75" i="39"/>
  <c r="D76" i="39"/>
  <c r="D78" i="39"/>
  <c r="D79" i="39"/>
  <c r="D80" i="39"/>
  <c r="D82" i="39"/>
  <c r="D83" i="39"/>
  <c r="D84" i="39"/>
  <c r="D85" i="39"/>
  <c r="D86" i="39"/>
  <c r="D87" i="39"/>
  <c r="D88" i="39"/>
  <c r="D89" i="39"/>
  <c r="D90" i="39"/>
  <c r="D91" i="39"/>
  <c r="D92" i="39"/>
  <c r="D93" i="39"/>
  <c r="D94" i="39"/>
  <c r="D96" i="39"/>
  <c r="D97" i="39"/>
  <c r="D98" i="39"/>
  <c r="D99" i="39"/>
  <c r="C8" i="6" l="1"/>
  <c r="P3" i="39" s="1"/>
  <c r="C7" i="6" l="1"/>
  <c r="F117" i="5" l="1"/>
  <c r="E14" i="3" l="1"/>
  <c r="E23" i="3"/>
  <c r="Q18" i="1" l="1"/>
  <c r="M16" i="39" l="1"/>
  <c r="J1535" i="39" l="1"/>
  <c r="G1535" i="39"/>
  <c r="G1511" i="39" l="1"/>
  <c r="G1510" i="39"/>
  <c r="D114" i="39" l="1"/>
  <c r="D115" i="39"/>
  <c r="D116" i="39"/>
  <c r="D122" i="39"/>
  <c r="D124" i="39"/>
  <c r="D126" i="39"/>
  <c r="D129" i="39"/>
  <c r="E24" i="3" l="1"/>
  <c r="D7" i="1" l="1"/>
  <c r="E6" i="3"/>
  <c r="J259" i="39" l="1"/>
  <c r="J258" i="39"/>
  <c r="J257" i="39"/>
  <c r="J256" i="39"/>
  <c r="J255" i="39"/>
  <c r="J254" i="39"/>
  <c r="J253" i="39"/>
  <c r="J252" i="39"/>
  <c r="J251" i="39"/>
  <c r="J250" i="39"/>
  <c r="J249" i="39"/>
  <c r="J248" i="39"/>
  <c r="J247" i="39"/>
  <c r="J246" i="39"/>
  <c r="J245" i="39"/>
  <c r="J244" i="39"/>
  <c r="J243" i="39"/>
  <c r="J237" i="39"/>
  <c r="J242" i="39"/>
  <c r="J241" i="39"/>
  <c r="J240" i="39"/>
  <c r="J239" i="39"/>
  <c r="J238" i="39"/>
  <c r="J236" i="39"/>
  <c r="J235" i="39"/>
  <c r="J234" i="39"/>
  <c r="J233" i="39"/>
  <c r="J232" i="39"/>
  <c r="J231" i="39"/>
  <c r="J230" i="39"/>
  <c r="J229" i="39"/>
  <c r="J219" i="39"/>
  <c r="J228" i="39"/>
  <c r="J227" i="39"/>
  <c r="J226" i="39"/>
  <c r="J225" i="39"/>
  <c r="J224" i="39"/>
  <c r="J223" i="39"/>
  <c r="J222" i="39"/>
  <c r="J221" i="39"/>
  <c r="J220" i="39"/>
  <c r="J218" i="39"/>
  <c r="J217" i="39"/>
  <c r="J216" i="39"/>
  <c r="J215" i="39"/>
  <c r="J214" i="39"/>
  <c r="J213" i="39"/>
  <c r="J212" i="39"/>
  <c r="J211" i="39"/>
  <c r="J210" i="39"/>
  <c r="J209" i="39"/>
  <c r="J208" i="39"/>
  <c r="J207" i="39"/>
  <c r="J206" i="39"/>
  <c r="J205" i="39"/>
  <c r="J204" i="39"/>
  <c r="J203" i="39"/>
  <c r="J202" i="39"/>
  <c r="J201" i="39"/>
  <c r="J200" i="39"/>
  <c r="J199" i="39"/>
  <c r="J198" i="39"/>
  <c r="J197" i="39"/>
  <c r="J196" i="39"/>
  <c r="J195" i="39"/>
  <c r="J194" i="39"/>
  <c r="J193" i="39"/>
  <c r="J192" i="39"/>
  <c r="J191" i="39"/>
  <c r="J190" i="39"/>
  <c r="J189" i="39"/>
  <c r="J188" i="39"/>
  <c r="J187" i="39"/>
  <c r="J186" i="39"/>
  <c r="J185" i="39"/>
  <c r="J184" i="39"/>
  <c r="J183" i="39"/>
  <c r="J182" i="39"/>
  <c r="J181" i="39"/>
  <c r="J180" i="39"/>
  <c r="J179" i="39"/>
  <c r="J178" i="39"/>
  <c r="J177" i="39"/>
  <c r="J176" i="39"/>
  <c r="J175" i="39"/>
  <c r="J174" i="39"/>
  <c r="J173" i="39"/>
  <c r="J172" i="39"/>
  <c r="J171" i="39"/>
  <c r="J170" i="39"/>
  <c r="J169" i="39"/>
  <c r="J168" i="39"/>
  <c r="J167" i="39"/>
  <c r="J166" i="39"/>
  <c r="J165" i="39"/>
  <c r="J164" i="39"/>
  <c r="J163" i="39"/>
  <c r="J162" i="39"/>
  <c r="J161" i="39"/>
  <c r="J160" i="39"/>
  <c r="J159" i="39"/>
  <c r="J158" i="39"/>
  <c r="J157" i="39"/>
  <c r="J156" i="39"/>
  <c r="J155" i="39"/>
  <c r="J154" i="39"/>
  <c r="J153" i="39"/>
  <c r="J152" i="39"/>
  <c r="G151" i="39"/>
  <c r="J145" i="39"/>
  <c r="J151" i="39"/>
  <c r="J150" i="39"/>
  <c r="J149" i="39"/>
  <c r="J148" i="39"/>
  <c r="J147" i="39"/>
  <c r="J146" i="39"/>
  <c r="J144" i="39"/>
  <c r="J143" i="39"/>
  <c r="J142" i="39"/>
  <c r="J141" i="39"/>
  <c r="J140" i="39"/>
  <c r="J139" i="39"/>
  <c r="J138" i="39"/>
  <c r="J137" i="39"/>
  <c r="J136" i="39"/>
  <c r="J135" i="39"/>
  <c r="J134" i="39"/>
  <c r="J133" i="39"/>
  <c r="J132" i="39"/>
  <c r="J131" i="39"/>
  <c r="J130" i="39"/>
  <c r="J129" i="39"/>
  <c r="J128" i="39"/>
  <c r="J127" i="39"/>
  <c r="J126" i="39"/>
  <c r="J125" i="39"/>
  <c r="J124" i="39"/>
  <c r="J123" i="39"/>
  <c r="J122" i="39"/>
  <c r="J121" i="39"/>
  <c r="J120" i="39"/>
  <c r="J119" i="39"/>
  <c r="J118" i="39"/>
  <c r="J117" i="39"/>
  <c r="J116" i="39"/>
  <c r="J115" i="39"/>
  <c r="J114" i="39"/>
  <c r="J113" i="39"/>
  <c r="J112" i="39"/>
  <c r="J111" i="39"/>
  <c r="J110" i="39"/>
  <c r="J109" i="39"/>
  <c r="J108" i="39"/>
  <c r="J107" i="39"/>
  <c r="J106" i="39"/>
  <c r="J105" i="39"/>
  <c r="J104" i="39"/>
  <c r="J103" i="39"/>
  <c r="J102" i="39"/>
  <c r="J101" i="39"/>
  <c r="J100" i="39"/>
  <c r="J99" i="39"/>
  <c r="J98" i="39"/>
  <c r="J97" i="39"/>
  <c r="J96" i="39"/>
  <c r="J95" i="39"/>
  <c r="J94" i="39"/>
  <c r="J93" i="39"/>
  <c r="J92" i="39"/>
  <c r="J91" i="39"/>
  <c r="J90" i="39"/>
  <c r="J89" i="39"/>
  <c r="J88" i="39"/>
  <c r="J87" i="39"/>
  <c r="J86" i="39"/>
  <c r="J85" i="39"/>
  <c r="J84" i="39"/>
  <c r="J83" i="39"/>
  <c r="J82" i="39"/>
  <c r="G257" i="39"/>
  <c r="G256" i="39"/>
  <c r="G255" i="39"/>
  <c r="G254" i="39"/>
  <c r="G253" i="39"/>
  <c r="G252" i="39"/>
  <c r="G251" i="39"/>
  <c r="G250" i="39"/>
  <c r="G249" i="39"/>
  <c r="G248" i="39"/>
  <c r="G247" i="39"/>
  <c r="G246" i="39"/>
  <c r="G245" i="39"/>
  <c r="G244" i="39"/>
  <c r="G243" i="39"/>
  <c r="G242" i="39"/>
  <c r="G241" i="39"/>
  <c r="G240" i="39"/>
  <c r="G239" i="39"/>
  <c r="G238" i="39"/>
  <c r="G237" i="39"/>
  <c r="G236" i="39"/>
  <c r="G235" i="39"/>
  <c r="G234" i="39"/>
  <c r="G233" i="39"/>
  <c r="G232" i="39"/>
  <c r="G231" i="39"/>
  <c r="G230" i="39"/>
  <c r="G229" i="39"/>
  <c r="G228" i="39"/>
  <c r="G227" i="39"/>
  <c r="G226" i="39"/>
  <c r="G225" i="39"/>
  <c r="G224" i="39"/>
  <c r="G223" i="39"/>
  <c r="G222" i="39"/>
  <c r="G221" i="39"/>
  <c r="G220" i="39"/>
  <c r="G219" i="39"/>
  <c r="G218" i="39"/>
  <c r="G217" i="39"/>
  <c r="G216" i="39"/>
  <c r="G215" i="39"/>
  <c r="G214" i="39"/>
  <c r="G213" i="39"/>
  <c r="G212" i="39"/>
  <c r="G211" i="39"/>
  <c r="G210" i="39"/>
  <c r="G209" i="39"/>
  <c r="G208" i="39"/>
  <c r="G207" i="39"/>
  <c r="G206" i="39"/>
  <c r="G205" i="39"/>
  <c r="G204" i="39"/>
  <c r="G203" i="39"/>
  <c r="G202" i="39"/>
  <c r="G201" i="39"/>
  <c r="G200" i="39"/>
  <c r="G199" i="39"/>
  <c r="G198" i="39"/>
  <c r="G197" i="39"/>
  <c r="G196" i="39"/>
  <c r="G195" i="39"/>
  <c r="G194" i="39"/>
  <c r="G193" i="39"/>
  <c r="G192" i="39"/>
  <c r="G191" i="39"/>
  <c r="G190" i="39"/>
  <c r="G189" i="39"/>
  <c r="G188" i="39"/>
  <c r="G187" i="39"/>
  <c r="G186" i="39"/>
  <c r="G185" i="39"/>
  <c r="G184" i="39"/>
  <c r="G183" i="39"/>
  <c r="G182" i="39"/>
  <c r="G181" i="39"/>
  <c r="G180" i="39"/>
  <c r="G179" i="39"/>
  <c r="G178" i="39"/>
  <c r="G177" i="39"/>
  <c r="G176" i="39"/>
  <c r="G175" i="39"/>
  <c r="G174" i="39"/>
  <c r="G173" i="39"/>
  <c r="G172" i="39"/>
  <c r="G171" i="39"/>
  <c r="G170" i="39"/>
  <c r="G169" i="39"/>
  <c r="G168" i="39"/>
  <c r="G162" i="39"/>
  <c r="G150" i="39"/>
  <c r="G139" i="39"/>
  <c r="G119" i="39"/>
  <c r="G99" i="39"/>
  <c r="G131" i="39"/>
  <c r="G130" i="39"/>
  <c r="G129" i="39"/>
  <c r="G128" i="39"/>
  <c r="G127" i="39"/>
  <c r="G126" i="39"/>
  <c r="G167" i="39"/>
  <c r="G166" i="39"/>
  <c r="G165" i="39"/>
  <c r="G164" i="39"/>
  <c r="G163" i="39"/>
  <c r="G161" i="39"/>
  <c r="G160" i="39"/>
  <c r="G159" i="39"/>
  <c r="G158" i="39"/>
  <c r="G157" i="39"/>
  <c r="G156" i="39"/>
  <c r="G155" i="39"/>
  <c r="G154" i="39"/>
  <c r="G153" i="39"/>
  <c r="G152" i="39"/>
  <c r="G149" i="39"/>
  <c r="G148" i="39"/>
  <c r="G147" i="39"/>
  <c r="G146" i="39"/>
  <c r="G145" i="39"/>
  <c r="G144" i="39"/>
  <c r="G143" i="39"/>
  <c r="G142" i="39"/>
  <c r="G141" i="39"/>
  <c r="G140" i="39"/>
  <c r="G138" i="39"/>
  <c r="G137" i="39"/>
  <c r="G136" i="39"/>
  <c r="G135" i="39"/>
  <c r="G134" i="39"/>
  <c r="G133" i="39"/>
  <c r="G132" i="39"/>
  <c r="G125" i="39"/>
  <c r="G124" i="39"/>
  <c r="G123" i="39"/>
  <c r="G122" i="39"/>
  <c r="G121" i="39"/>
  <c r="G120" i="39"/>
  <c r="G118" i="39"/>
  <c r="G117" i="39"/>
  <c r="G116" i="39"/>
  <c r="G115" i="39"/>
  <c r="G114" i="39"/>
  <c r="G113" i="39"/>
  <c r="G112" i="39"/>
  <c r="G111" i="39"/>
  <c r="G110" i="39"/>
  <c r="G109" i="39"/>
  <c r="G108" i="39"/>
  <c r="G107" i="39"/>
  <c r="G106" i="39"/>
  <c r="G105" i="39"/>
  <c r="G104" i="39"/>
  <c r="G103" i="39"/>
  <c r="G102" i="39"/>
  <c r="G101" i="39"/>
  <c r="G100" i="39"/>
  <c r="G98" i="39"/>
  <c r="G97" i="39"/>
  <c r="G96" i="39"/>
  <c r="G95" i="39"/>
  <c r="G94" i="39"/>
  <c r="G93" i="39"/>
  <c r="G92" i="39"/>
  <c r="G91" i="39"/>
  <c r="G90" i="39"/>
  <c r="G89" i="39"/>
  <c r="G88" i="39"/>
  <c r="G87" i="39"/>
  <c r="G86" i="39"/>
  <c r="G85" i="39"/>
  <c r="G84" i="39"/>
  <c r="G83" i="39"/>
  <c r="G82" i="39"/>
  <c r="G81" i="39"/>
  <c r="G80" i="39"/>
  <c r="G79" i="39"/>
  <c r="G78" i="39"/>
  <c r="G77" i="39"/>
  <c r="G76" i="39"/>
  <c r="G75" i="39"/>
  <c r="G74" i="39"/>
  <c r="G73" i="39"/>
  <c r="G72" i="39"/>
  <c r="G71" i="39"/>
  <c r="G70" i="39"/>
  <c r="G69" i="39"/>
  <c r="G68" i="39"/>
  <c r="G67" i="39"/>
  <c r="G66" i="39"/>
  <c r="G65" i="39"/>
  <c r="G64" i="39"/>
  <c r="G63" i="39"/>
  <c r="G62" i="39"/>
  <c r="G61" i="39"/>
  <c r="G60" i="39"/>
  <c r="G59" i="39"/>
  <c r="G58" i="39"/>
  <c r="G57" i="39"/>
  <c r="G56" i="39"/>
  <c r="G55" i="39"/>
  <c r="G54" i="39"/>
  <c r="G53" i="39"/>
  <c r="G52" i="39"/>
  <c r="G51" i="39"/>
  <c r="G50" i="39"/>
  <c r="G49" i="39"/>
  <c r="G48" i="39"/>
  <c r="G47" i="39"/>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l="1"/>
  <c r="G15" i="39"/>
  <c r="G14" i="39"/>
  <c r="G13" i="39"/>
  <c r="G12" i="39"/>
  <c r="G11" i="39"/>
  <c r="G10" i="39"/>
  <c r="G9" i="39"/>
  <c r="J81" i="39"/>
  <c r="J80" i="39"/>
  <c r="J79" i="39"/>
  <c r="J78" i="39"/>
  <c r="J77" i="39"/>
  <c r="J76" i="39"/>
  <c r="J75" i="39"/>
  <c r="J74" i="39"/>
  <c r="J73" i="39"/>
  <c r="J72" i="39"/>
  <c r="J71" i="39"/>
  <c r="J70" i="39"/>
  <c r="J69" i="39"/>
  <c r="J68" i="39"/>
  <c r="J67" i="39"/>
  <c r="J66" i="39"/>
  <c r="J65" i="39"/>
  <c r="J64" i="39"/>
  <c r="J63" i="39"/>
  <c r="J62" i="39"/>
  <c r="J61" i="39"/>
  <c r="J60" i="39"/>
  <c r="J59" i="39"/>
  <c r="J58" i="39"/>
  <c r="J57" i="39"/>
  <c r="J56" i="39"/>
  <c r="J55" i="39"/>
  <c r="J54" i="39"/>
  <c r="J53" i="39"/>
  <c r="J52" i="39"/>
  <c r="J51" i="39"/>
  <c r="J50" i="39"/>
  <c r="J49" i="39"/>
  <c r="J48" i="39"/>
  <c r="J47" i="39"/>
  <c r="J46" i="39"/>
  <c r="J45" i="39"/>
  <c r="J44" i="39"/>
  <c r="J43" i="39"/>
  <c r="J42" i="39"/>
  <c r="J41" i="39"/>
  <c r="J40" i="39"/>
  <c r="J39" i="39"/>
  <c r="J38" i="39"/>
  <c r="J37" i="39"/>
  <c r="J36" i="39"/>
  <c r="J35" i="39"/>
  <c r="J34" i="39"/>
  <c r="J33" i="39"/>
  <c r="J32" i="39"/>
  <c r="J31" i="39"/>
  <c r="J30" i="39"/>
  <c r="J29" i="39"/>
  <c r="J28" i="39"/>
  <c r="J27" i="39"/>
  <c r="J26" i="39"/>
  <c r="J25" i="39"/>
  <c r="J24" i="39"/>
  <c r="J23" i="39"/>
  <c r="J22" i="39"/>
  <c r="J21" i="39"/>
  <c r="J20" i="39"/>
  <c r="J19" i="39"/>
  <c r="J18" i="39"/>
  <c r="J17" i="39"/>
  <c r="J16" i="39"/>
  <c r="J15" i="39"/>
  <c r="J14" i="39"/>
  <c r="J13" i="39"/>
  <c r="J12" i="39"/>
  <c r="J11" i="39"/>
  <c r="J10" i="39"/>
  <c r="J9" i="39"/>
  <c r="M7" i="39" l="1"/>
  <c r="D100" i="39" l="1"/>
  <c r="F6" i="37" l="1"/>
  <c r="I6" i="6"/>
  <c r="E15" i="3" l="1"/>
  <c r="D106" i="39" l="1"/>
  <c r="U13" i="3" l="1"/>
  <c r="AC6" i="35"/>
  <c r="AC6" i="33"/>
  <c r="W15" i="1"/>
  <c r="J1522" i="39" l="1"/>
  <c r="G1522" i="39"/>
  <c r="J1518" i="39" l="1"/>
  <c r="J1519" i="39"/>
  <c r="G1518" i="39"/>
  <c r="G1512" i="39" l="1"/>
  <c r="C9" i="38" l="1"/>
  <c r="G1515" i="39" l="1"/>
  <c r="E117" i="5" l="1"/>
  <c r="D117" i="5"/>
  <c r="D51" i="39" l="1"/>
  <c r="A98" i="39" l="1"/>
  <c r="D43" i="39" l="1"/>
  <c r="X62" i="1" s="1"/>
  <c r="D42" i="39"/>
  <c r="X61" i="1" s="1"/>
  <c r="D41" i="39"/>
  <c r="X60" i="1" s="1"/>
  <c r="D40" i="39"/>
  <c r="X59" i="1" s="1"/>
  <c r="D39" i="39"/>
  <c r="X58" i="1" s="1"/>
  <c r="D38" i="39"/>
  <c r="X57" i="1" s="1"/>
  <c r="D37" i="39"/>
  <c r="X56" i="1" s="1"/>
  <c r="D36" i="39"/>
  <c r="X55" i="1" s="1"/>
  <c r="D35" i="39"/>
  <c r="X54" i="1" s="1"/>
  <c r="D34" i="39"/>
  <c r="X53" i="1" s="1"/>
  <c r="D33" i="39"/>
  <c r="X52" i="1" s="1"/>
  <c r="D31" i="39"/>
  <c r="X50" i="1" s="1"/>
  <c r="D30" i="39"/>
  <c r="X49" i="1" s="1"/>
  <c r="D45" i="39"/>
  <c r="X64" i="1" s="1"/>
  <c r="D44" i="39"/>
  <c r="X63" i="1" s="1"/>
  <c r="D27" i="39"/>
  <c r="X46" i="1" s="1"/>
  <c r="D29" i="39"/>
  <c r="X48" i="1" s="1"/>
  <c r="D26" i="39"/>
  <c r="X45" i="1" s="1"/>
  <c r="B67" i="1" l="1"/>
  <c r="D47" i="39" s="1"/>
  <c r="B68" i="1"/>
  <c r="B69" i="1"/>
  <c r="B66" i="1"/>
  <c r="D48" i="39" l="1"/>
  <c r="D52" i="39"/>
  <c r="D49" i="39"/>
  <c r="D53" i="39"/>
  <c r="D46" i="39"/>
  <c r="X66" i="1" s="1"/>
  <c r="D50" i="39"/>
  <c r="D121" i="39"/>
  <c r="D25" i="39"/>
  <c r="X44" i="1" s="1"/>
  <c r="D24" i="39"/>
  <c r="X43" i="1" s="1"/>
  <c r="D23" i="39"/>
  <c r="X42" i="1" s="1"/>
  <c r="D22" i="39"/>
  <c r="X41" i="1" s="1"/>
  <c r="D21" i="39"/>
  <c r="X40" i="1" s="1"/>
  <c r="D20" i="39"/>
  <c r="X39" i="1" s="1"/>
  <c r="D19" i="39"/>
  <c r="X38" i="1" s="1"/>
  <c r="D18" i="39"/>
  <c r="X37" i="1" s="1"/>
  <c r="D17" i="39"/>
  <c r="X36" i="1" s="1"/>
  <c r="D16" i="39"/>
  <c r="X35" i="1" s="1"/>
  <c r="D15" i="39"/>
  <c r="X34" i="1" s="1"/>
  <c r="D14" i="39"/>
  <c r="X33" i="1" s="1"/>
  <c r="D13" i="39"/>
  <c r="X32" i="1" s="1"/>
  <c r="D12" i="39"/>
  <c r="X31" i="1" s="1"/>
  <c r="D11" i="39"/>
  <c r="X29" i="1" s="1"/>
  <c r="D10" i="39"/>
  <c r="X27" i="1" s="1"/>
  <c r="D9" i="39"/>
  <c r="X26" i="1" s="1"/>
  <c r="D8" i="39"/>
  <c r="X25" i="1" s="1"/>
  <c r="D7" i="39"/>
  <c r="X24" i="1" s="1"/>
  <c r="A87" i="39" l="1"/>
  <c r="A88" i="39"/>
  <c r="A89" i="39"/>
  <c r="A90" i="39"/>
  <c r="A91" i="39"/>
  <c r="A92" i="39"/>
  <c r="A93" i="39"/>
  <c r="A94" i="39"/>
  <c r="A95" i="39"/>
  <c r="A96" i="39"/>
  <c r="A54" i="39" l="1"/>
  <c r="D3" i="39" l="1"/>
  <c r="J261" i="39"/>
  <c r="J260" i="39"/>
  <c r="G258" i="39"/>
  <c r="G1520" i="39" l="1"/>
  <c r="J1520" i="39"/>
  <c r="J1521" i="39"/>
  <c r="G1521" i="39"/>
  <c r="D110" i="39"/>
  <c r="G8" i="39"/>
  <c r="M9" i="39" l="1"/>
  <c r="I18" i="1" l="1"/>
  <c r="J1512" i="39" l="1"/>
  <c r="U14" i="33" l="1"/>
  <c r="G1533" i="39" s="1"/>
  <c r="J1545" i="39" l="1"/>
  <c r="G1545" i="39"/>
  <c r="D6" i="39"/>
  <c r="J1517" i="39" l="1"/>
  <c r="A3" i="39" l="1"/>
  <c r="J3" i="39"/>
  <c r="G3" i="39"/>
  <c r="M3" i="39"/>
  <c r="G1526" i="39" l="1"/>
  <c r="J1526" i="39"/>
  <c r="J1544" i="39"/>
  <c r="G1544" i="39"/>
  <c r="J1543" i="39"/>
  <c r="G1543" i="39"/>
  <c r="J1542" i="39"/>
  <c r="G1542" i="39"/>
  <c r="J1541" i="39"/>
  <c r="G1541" i="39"/>
  <c r="J1540" i="39"/>
  <c r="G1540" i="39"/>
  <c r="J1539" i="39"/>
  <c r="G1539" i="39"/>
  <c r="J1538" i="39"/>
  <c r="G1538" i="39"/>
  <c r="J1537" i="39"/>
  <c r="G1537" i="39"/>
  <c r="J1536" i="39"/>
  <c r="G1536" i="39"/>
  <c r="J1534" i="39"/>
  <c r="G1534" i="39"/>
  <c r="J1532" i="39"/>
  <c r="G1532" i="39"/>
  <c r="J1531" i="39"/>
  <c r="G1531" i="39"/>
  <c r="J1530" i="39"/>
  <c r="G1530" i="39"/>
  <c r="J1529" i="39"/>
  <c r="G1529" i="39"/>
  <c r="J1528" i="39"/>
  <c r="G1528" i="39"/>
  <c r="J1527" i="39"/>
  <c r="G1527" i="39"/>
  <c r="J1525" i="39"/>
  <c r="G1525" i="39"/>
  <c r="J1524" i="39"/>
  <c r="G1524" i="39"/>
  <c r="J1523" i="39"/>
  <c r="G1523" i="39"/>
  <c r="G1519" i="39"/>
  <c r="C7" i="38" l="1"/>
  <c r="A64" i="39" l="1"/>
  <c r="P12" i="39"/>
  <c r="P5" i="39" l="1"/>
  <c r="J6" i="39" l="1"/>
  <c r="G1517" i="39"/>
  <c r="P16" i="3" l="1"/>
  <c r="J1310" i="39"/>
  <c r="J1342" i="39"/>
  <c r="J1356" i="39"/>
  <c r="J1365" i="39"/>
  <c r="J1378" i="39"/>
  <c r="J1387" i="39"/>
  <c r="J1397" i="39"/>
  <c r="J1407" i="39"/>
  <c r="J1415" i="39"/>
  <c r="J1427" i="39"/>
  <c r="J1425" i="39"/>
  <c r="J1440" i="39"/>
  <c r="J1455" i="39"/>
  <c r="J1447" i="39"/>
  <c r="J1463" i="39"/>
  <c r="J1469" i="39"/>
  <c r="J1477" i="39"/>
  <c r="J1490" i="39"/>
  <c r="J1503" i="39"/>
  <c r="J1510" i="39"/>
  <c r="J1509" i="39"/>
  <c r="J1508" i="39"/>
  <c r="J1507" i="39"/>
  <c r="J1506" i="39"/>
  <c r="J1505" i="39"/>
  <c r="J1504" i="39"/>
  <c r="J1502" i="39"/>
  <c r="J1501" i="39"/>
  <c r="J1500" i="39"/>
  <c r="J1499" i="39"/>
  <c r="J1498" i="39"/>
  <c r="J1497" i="39"/>
  <c r="J1496" i="39"/>
  <c r="J1495" i="39"/>
  <c r="J1494" i="39"/>
  <c r="J1493" i="39"/>
  <c r="J1492" i="39"/>
  <c r="J1491" i="39"/>
  <c r="J1489" i="39"/>
  <c r="J1488" i="39"/>
  <c r="J1487" i="39"/>
  <c r="J1486" i="39"/>
  <c r="J1485" i="39"/>
  <c r="J1484" i="39"/>
  <c r="J1483" i="39"/>
  <c r="J1482" i="39"/>
  <c r="J1481" i="39"/>
  <c r="J1480" i="39"/>
  <c r="J1479" i="39"/>
  <c r="J1478" i="39"/>
  <c r="J1476" i="39"/>
  <c r="J1475" i="39"/>
  <c r="J1474" i="39"/>
  <c r="J1473" i="39"/>
  <c r="J1472" i="39"/>
  <c r="J1471" i="39"/>
  <c r="J1470" i="39"/>
  <c r="J1468" i="39"/>
  <c r="J1467" i="39"/>
  <c r="J1466" i="39"/>
  <c r="J1465" i="39"/>
  <c r="J1464" i="39"/>
  <c r="J1462" i="39"/>
  <c r="J1461" i="39"/>
  <c r="J1460" i="39"/>
  <c r="J1459" i="39"/>
  <c r="J1458" i="39"/>
  <c r="J1457" i="39"/>
  <c r="J1456" i="39"/>
  <c r="J1454" i="39"/>
  <c r="J1453" i="39"/>
  <c r="J1452" i="39"/>
  <c r="J1451" i="39"/>
  <c r="J1450" i="39"/>
  <c r="J1449" i="39"/>
  <c r="J1448" i="39"/>
  <c r="J1446" i="39"/>
  <c r="J1445" i="39"/>
  <c r="J1444" i="39"/>
  <c r="J1443" i="39"/>
  <c r="J1442" i="39"/>
  <c r="J1441" i="39"/>
  <c r="J1439" i="39"/>
  <c r="J1438" i="39"/>
  <c r="J1437" i="39"/>
  <c r="J1436" i="39"/>
  <c r="J1435" i="39"/>
  <c r="J1434" i="39"/>
  <c r="J1433" i="39"/>
  <c r="J1432" i="39"/>
  <c r="J1431" i="39"/>
  <c r="J1430" i="39"/>
  <c r="J1429" i="39"/>
  <c r="J1428" i="39"/>
  <c r="J1426" i="39"/>
  <c r="J1424" i="39"/>
  <c r="J1423" i="39"/>
  <c r="J1422" i="39"/>
  <c r="J1421" i="39"/>
  <c r="J1420" i="39"/>
  <c r="J1419" i="39"/>
  <c r="J1418" i="39"/>
  <c r="J1417" i="39"/>
  <c r="J1416" i="39"/>
  <c r="J1414" i="39"/>
  <c r="J1413" i="39"/>
  <c r="J1412" i="39"/>
  <c r="J1411" i="39"/>
  <c r="J1410" i="39"/>
  <c r="J1409" i="39"/>
  <c r="J1408" i="39"/>
  <c r="J1406" i="39"/>
  <c r="J1405" i="39"/>
  <c r="J1404" i="39"/>
  <c r="J1403" i="39"/>
  <c r="J1402" i="39"/>
  <c r="J1401" i="39"/>
  <c r="J1400" i="39"/>
  <c r="J1399" i="39"/>
  <c r="J1398" i="39"/>
  <c r="J1396" i="39"/>
  <c r="J1395" i="39"/>
  <c r="J1394" i="39"/>
  <c r="J1393" i="39"/>
  <c r="J1392" i="39"/>
  <c r="J1391" i="39"/>
  <c r="J1390" i="39"/>
  <c r="J1389" i="39"/>
  <c r="J1388" i="39"/>
  <c r="J1386" i="39"/>
  <c r="J1385" i="39"/>
  <c r="J1384" i="39"/>
  <c r="J1383" i="39"/>
  <c r="J1382" i="39"/>
  <c r="J1381" i="39"/>
  <c r="J1380" i="39"/>
  <c r="J1379" i="39"/>
  <c r="J1377" i="39"/>
  <c r="J1376" i="39"/>
  <c r="J1375" i="39"/>
  <c r="J1374" i="39"/>
  <c r="J1373" i="39"/>
  <c r="J1372" i="39"/>
  <c r="J1371" i="39"/>
  <c r="J1370" i="39"/>
  <c r="J1369" i="39"/>
  <c r="J1368" i="39"/>
  <c r="J1367" i="39"/>
  <c r="J1366" i="39"/>
  <c r="J1364" i="39"/>
  <c r="J1363" i="39"/>
  <c r="J1362" i="39"/>
  <c r="J1361" i="39"/>
  <c r="J1360" i="39"/>
  <c r="J1359" i="39"/>
  <c r="J1358" i="39"/>
  <c r="J1357" i="39"/>
  <c r="J1355" i="39"/>
  <c r="J1354" i="39"/>
  <c r="J1353" i="39"/>
  <c r="J1352" i="39"/>
  <c r="J1351" i="39"/>
  <c r="J1350" i="39"/>
  <c r="J1349" i="39"/>
  <c r="J1348" i="39"/>
  <c r="J1347" i="39"/>
  <c r="J1346" i="39"/>
  <c r="J1345" i="39"/>
  <c r="J1344" i="39"/>
  <c r="J1343" i="39"/>
  <c r="J1341" i="39"/>
  <c r="J1340" i="39"/>
  <c r="J1339" i="39"/>
  <c r="J1338" i="39"/>
  <c r="J1337" i="39"/>
  <c r="J1336" i="39"/>
  <c r="J1335" i="39"/>
  <c r="J1334" i="39"/>
  <c r="J1333" i="39"/>
  <c r="J1332" i="39"/>
  <c r="J1331" i="39"/>
  <c r="J1330" i="39"/>
  <c r="J1329" i="39"/>
  <c r="J1328" i="39"/>
  <c r="J1327" i="39"/>
  <c r="J1326" i="39"/>
  <c r="J1325" i="39"/>
  <c r="J1324" i="39"/>
  <c r="J1323" i="39"/>
  <c r="J1322" i="39"/>
  <c r="J1321" i="39"/>
  <c r="J1320" i="39"/>
  <c r="J1319" i="39"/>
  <c r="J1318" i="39"/>
  <c r="J1317" i="39"/>
  <c r="J1316" i="39"/>
  <c r="J1315" i="39"/>
  <c r="J1314" i="39"/>
  <c r="J1313" i="39"/>
  <c r="J1312" i="39"/>
  <c r="J1311" i="39"/>
  <c r="J1309" i="39"/>
  <c r="J1308" i="39"/>
  <c r="J1307" i="39"/>
  <c r="J1306" i="39"/>
  <c r="J1305" i="39"/>
  <c r="J1304" i="39"/>
  <c r="J1303" i="39"/>
  <c r="J1302" i="39"/>
  <c r="J1301" i="39"/>
  <c r="J1300" i="39"/>
  <c r="J1299" i="39"/>
  <c r="J1298" i="39"/>
  <c r="J1297" i="39"/>
  <c r="J1296" i="39"/>
  <c r="J1295" i="39"/>
  <c r="J1294" i="39"/>
  <c r="J1293" i="39"/>
  <c r="J1292" i="39"/>
  <c r="J1291" i="39"/>
  <c r="J1290" i="39"/>
  <c r="J1289" i="39"/>
  <c r="J1288" i="39"/>
  <c r="J1287" i="39"/>
  <c r="J1286" i="39"/>
  <c r="J1285" i="39"/>
  <c r="J1284" i="39"/>
  <c r="J1283" i="39"/>
  <c r="J1282" i="39"/>
  <c r="J1281" i="39"/>
  <c r="J1280" i="39"/>
  <c r="J1279" i="39"/>
  <c r="J1278" i="39"/>
  <c r="J1277" i="39"/>
  <c r="J1276" i="39"/>
  <c r="J1275" i="39"/>
  <c r="J1274" i="39"/>
  <c r="J1273" i="39"/>
  <c r="J1272" i="39"/>
  <c r="J1271" i="39"/>
  <c r="J1270" i="39"/>
  <c r="J1269" i="39"/>
  <c r="J1268" i="39"/>
  <c r="J1267" i="39"/>
  <c r="J1266" i="39"/>
  <c r="J1265" i="39"/>
  <c r="J1264" i="39"/>
  <c r="J1263" i="39"/>
  <c r="G1400" i="39"/>
  <c r="G1413" i="39"/>
  <c r="G1421" i="39"/>
  <c r="G1428" i="39"/>
  <c r="G1433" i="39"/>
  <c r="G1450" i="39"/>
  <c r="G1466" i="39"/>
  <c r="G1490" i="39"/>
  <c r="G1505" i="39"/>
  <c r="G1509" i="39"/>
  <c r="G1508" i="39"/>
  <c r="G1507" i="39"/>
  <c r="G1506" i="39"/>
  <c r="G1504" i="39"/>
  <c r="G1503" i="39"/>
  <c r="G1502" i="39"/>
  <c r="G1501" i="39"/>
  <c r="G1500" i="39"/>
  <c r="G1499" i="39"/>
  <c r="G1498" i="39"/>
  <c r="G1497" i="39"/>
  <c r="G1496" i="39"/>
  <c r="G1495" i="39"/>
  <c r="G1494" i="39"/>
  <c r="G1493" i="39"/>
  <c r="G1492" i="39"/>
  <c r="G1491" i="39"/>
  <c r="G1489" i="39"/>
  <c r="G1488" i="39"/>
  <c r="G1487" i="39"/>
  <c r="G1486" i="39"/>
  <c r="G1485" i="39"/>
  <c r="G1484" i="39"/>
  <c r="G1483" i="39"/>
  <c r="G1482" i="39"/>
  <c r="G1481" i="39"/>
  <c r="G1480" i="39"/>
  <c r="G1479" i="39"/>
  <c r="G1478" i="39"/>
  <c r="G1477" i="39"/>
  <c r="G1476" i="39"/>
  <c r="G1475" i="39"/>
  <c r="G1474" i="39"/>
  <c r="G1473" i="39"/>
  <c r="G1472" i="39"/>
  <c r="G1471" i="39"/>
  <c r="G1470" i="39"/>
  <c r="G1469" i="39"/>
  <c r="G1468" i="39"/>
  <c r="G1467" i="39"/>
  <c r="G1465" i="39"/>
  <c r="G1464" i="39"/>
  <c r="G1463" i="39"/>
  <c r="G1462" i="39"/>
  <c r="G1461" i="39"/>
  <c r="G1460" i="39"/>
  <c r="G1459" i="39"/>
  <c r="G1458" i="39"/>
  <c r="G1457" i="39"/>
  <c r="G1456" i="39"/>
  <c r="G1455" i="39"/>
  <c r="G1454" i="39"/>
  <c r="G1453" i="39"/>
  <c r="G1452" i="39"/>
  <c r="G1451" i="39"/>
  <c r="G1449" i="39"/>
  <c r="G1448" i="39"/>
  <c r="G1447" i="39"/>
  <c r="G1446" i="39"/>
  <c r="G1445" i="39"/>
  <c r="G1444" i="39"/>
  <c r="G1443" i="39"/>
  <c r="G1442" i="39"/>
  <c r="G1441" i="39"/>
  <c r="G1440" i="39"/>
  <c r="G1439" i="39"/>
  <c r="G1438" i="39"/>
  <c r="G1437" i="39"/>
  <c r="G1436" i="39"/>
  <c r="G1435" i="39"/>
  <c r="G1434" i="39"/>
  <c r="G1432" i="39"/>
  <c r="G1431" i="39"/>
  <c r="G1430" i="39"/>
  <c r="G1429" i="39"/>
  <c r="G1427" i="39"/>
  <c r="G1426" i="39"/>
  <c r="G1425" i="39"/>
  <c r="G1424" i="39"/>
  <c r="G1423" i="39"/>
  <c r="G1422" i="39"/>
  <c r="G1420" i="39"/>
  <c r="G1419" i="39"/>
  <c r="G1418" i="39"/>
  <c r="G1417" i="39"/>
  <c r="G1416" i="39"/>
  <c r="G1415" i="39"/>
  <c r="G1414" i="39"/>
  <c r="G1412" i="39"/>
  <c r="G1411" i="39"/>
  <c r="G1410" i="39"/>
  <c r="G1409" i="39"/>
  <c r="G1408" i="39"/>
  <c r="G1407" i="39"/>
  <c r="G1406" i="39"/>
  <c r="G1405" i="39"/>
  <c r="G1404" i="39"/>
  <c r="G1403" i="39"/>
  <c r="G1402" i="39"/>
  <c r="G1401" i="39"/>
  <c r="G1399" i="39"/>
  <c r="G1398" i="39"/>
  <c r="G1397" i="39"/>
  <c r="G1396" i="39"/>
  <c r="G1395" i="39"/>
  <c r="G1394" i="39"/>
  <c r="G1393" i="39"/>
  <c r="G1392" i="39"/>
  <c r="G1391" i="39"/>
  <c r="G1390" i="39"/>
  <c r="G1389" i="39"/>
  <c r="G1388" i="39"/>
  <c r="G1387" i="39"/>
  <c r="G1386" i="39"/>
  <c r="G1385" i="39"/>
  <c r="G1384" i="39"/>
  <c r="G1383" i="39"/>
  <c r="G1382" i="39"/>
  <c r="G1381" i="39"/>
  <c r="G1380" i="39"/>
  <c r="G1379" i="39"/>
  <c r="G1378" i="39"/>
  <c r="G1377" i="39"/>
  <c r="G1376" i="39"/>
  <c r="G1375" i="39"/>
  <c r="G1374" i="39"/>
  <c r="G1373" i="39"/>
  <c r="G1372" i="39"/>
  <c r="G1371" i="39"/>
  <c r="G1370" i="39"/>
  <c r="G1369" i="39"/>
  <c r="G1368" i="39"/>
  <c r="G1367" i="39"/>
  <c r="G1366" i="39"/>
  <c r="G1365" i="39"/>
  <c r="G1364" i="39"/>
  <c r="G1363" i="39"/>
  <c r="G1362" i="39"/>
  <c r="G1361" i="39"/>
  <c r="G1360" i="39"/>
  <c r="G1359" i="39"/>
  <c r="G1358" i="39"/>
  <c r="G1357" i="39"/>
  <c r="G1356" i="39"/>
  <c r="G1355" i="39"/>
  <c r="G1354" i="39"/>
  <c r="G1353" i="39"/>
  <c r="G1352" i="39"/>
  <c r="G1351" i="39"/>
  <c r="G1350" i="39"/>
  <c r="G1349" i="39"/>
  <c r="G1348" i="39"/>
  <c r="G1347" i="39"/>
  <c r="G1346" i="39"/>
  <c r="G1345" i="39"/>
  <c r="G1344" i="39"/>
  <c r="G1343" i="39"/>
  <c r="G1342" i="39"/>
  <c r="G1341" i="39"/>
  <c r="G1340" i="39"/>
  <c r="G1339" i="39"/>
  <c r="G1338" i="39"/>
  <c r="G1337" i="39"/>
  <c r="G1336" i="39"/>
  <c r="G1335" i="39"/>
  <c r="G1334" i="39"/>
  <c r="G1333" i="39"/>
  <c r="G1332" i="39"/>
  <c r="G1331" i="39"/>
  <c r="G1330" i="39"/>
  <c r="G1329" i="39"/>
  <c r="G1328" i="39"/>
  <c r="G1327" i="39"/>
  <c r="G1326" i="39"/>
  <c r="G1325" i="39"/>
  <c r="G1324" i="39"/>
  <c r="G1323" i="39"/>
  <c r="G1322" i="39"/>
  <c r="G1321" i="39"/>
  <c r="G1320" i="39"/>
  <c r="G1319" i="39"/>
  <c r="G1318" i="39"/>
  <c r="G1317" i="39"/>
  <c r="G1316" i="39"/>
  <c r="G1315" i="39"/>
  <c r="G1314" i="39"/>
  <c r="G1313" i="39"/>
  <c r="G1312" i="39"/>
  <c r="G1311" i="39"/>
  <c r="G1310" i="39"/>
  <c r="G1309" i="39"/>
  <c r="G1308" i="39"/>
  <c r="G1307" i="39"/>
  <c r="G1306" i="39"/>
  <c r="G1305" i="39"/>
  <c r="G1304" i="39"/>
  <c r="G1303" i="39"/>
  <c r="G1302" i="39"/>
  <c r="G1301" i="39"/>
  <c r="G1300" i="39"/>
  <c r="G1299" i="39"/>
  <c r="G1298" i="39"/>
  <c r="G1297" i="39"/>
  <c r="G1296" i="39"/>
  <c r="G1295" i="39"/>
  <c r="G1294" i="39"/>
  <c r="G1293" i="39"/>
  <c r="G1292" i="39"/>
  <c r="G1291" i="39"/>
  <c r="G1290" i="39"/>
  <c r="G1289" i="39"/>
  <c r="G1288" i="39"/>
  <c r="G1287" i="39"/>
  <c r="G1286" i="39"/>
  <c r="G1285" i="39"/>
  <c r="G1284" i="39"/>
  <c r="G1283" i="39"/>
  <c r="G1282" i="39"/>
  <c r="G1281" i="39"/>
  <c r="G1280" i="39"/>
  <c r="G1279" i="39"/>
  <c r="G1278" i="39"/>
  <c r="G1277" i="39"/>
  <c r="G1276" i="39"/>
  <c r="G1275" i="39"/>
  <c r="G1274" i="39"/>
  <c r="G1273" i="39"/>
  <c r="G1272" i="39"/>
  <c r="G1271" i="39"/>
  <c r="G1270" i="39"/>
  <c r="G1269" i="39"/>
  <c r="G1268" i="39"/>
  <c r="G1267" i="39"/>
  <c r="G1266" i="39"/>
  <c r="G1265" i="39"/>
  <c r="G1264" i="39"/>
  <c r="G1263" i="39"/>
  <c r="G1262" i="39"/>
  <c r="G1261" i="39"/>
  <c r="G1260" i="39"/>
  <c r="G1259" i="39"/>
  <c r="G1258" i="39"/>
  <c r="B14" i="33" s="1"/>
  <c r="J1262" i="39"/>
  <c r="J1261" i="39"/>
  <c r="J1260" i="39"/>
  <c r="J1259" i="39"/>
  <c r="J1258" i="39"/>
  <c r="E13" i="3"/>
  <c r="M10" i="39" l="1"/>
  <c r="A22" i="39"/>
  <c r="A21" i="39"/>
  <c r="A20" i="39"/>
  <c r="A19" i="39"/>
  <c r="A18" i="39"/>
  <c r="A17" i="39"/>
  <c r="A16" i="39"/>
  <c r="A15" i="39"/>
  <c r="A14" i="39"/>
  <c r="A13" i="39"/>
  <c r="U263" i="33" l="1"/>
  <c r="U262" i="33"/>
  <c r="U261" i="33"/>
  <c r="U260" i="33"/>
  <c r="U259" i="33"/>
  <c r="U258" i="33"/>
  <c r="U257" i="33"/>
  <c r="U256" i="33"/>
  <c r="U255" i="33"/>
  <c r="U254" i="33"/>
  <c r="U253" i="33"/>
  <c r="U252" i="33"/>
  <c r="U251" i="33"/>
  <c r="U250" i="33"/>
  <c r="U249" i="33"/>
  <c r="U248" i="33"/>
  <c r="U247" i="33"/>
  <c r="U246" i="33"/>
  <c r="U245" i="33"/>
  <c r="U244" i="33"/>
  <c r="U243" i="33"/>
  <c r="U242" i="33"/>
  <c r="U241" i="33"/>
  <c r="U240" i="33"/>
  <c r="U239" i="33"/>
  <c r="U238" i="33"/>
  <c r="U237" i="33"/>
  <c r="U236" i="33"/>
  <c r="U235" i="33"/>
  <c r="U234" i="33"/>
  <c r="U233" i="33"/>
  <c r="U232" i="33"/>
  <c r="U231" i="33"/>
  <c r="U230" i="33"/>
  <c r="U229" i="33"/>
  <c r="U228" i="33"/>
  <c r="U227" i="33"/>
  <c r="U226" i="33"/>
  <c r="U225" i="33"/>
  <c r="U224" i="33"/>
  <c r="U223" i="33"/>
  <c r="U222" i="33"/>
  <c r="U221" i="33"/>
  <c r="U220" i="33"/>
  <c r="U219" i="33"/>
  <c r="U218" i="33"/>
  <c r="U217" i="33"/>
  <c r="U216" i="33"/>
  <c r="U215" i="33"/>
  <c r="U214" i="33"/>
  <c r="U213" i="33"/>
  <c r="U212" i="33"/>
  <c r="U211" i="33"/>
  <c r="U210" i="33"/>
  <c r="U209" i="33"/>
  <c r="U208" i="33"/>
  <c r="U207" i="33"/>
  <c r="U206" i="33"/>
  <c r="U205" i="33"/>
  <c r="U204" i="33"/>
  <c r="U203" i="33"/>
  <c r="U202" i="33"/>
  <c r="U201" i="33"/>
  <c r="U200" i="33"/>
  <c r="U199" i="33"/>
  <c r="U198" i="33"/>
  <c r="U197" i="33"/>
  <c r="U196" i="33"/>
  <c r="U195" i="33"/>
  <c r="U194" i="33"/>
  <c r="U193" i="33"/>
  <c r="U192" i="33"/>
  <c r="U191" i="33"/>
  <c r="U190" i="33"/>
  <c r="U189" i="33"/>
  <c r="U188" i="33"/>
  <c r="U187" i="33"/>
  <c r="U186" i="33"/>
  <c r="U185" i="33"/>
  <c r="U184" i="33"/>
  <c r="U183" i="33"/>
  <c r="U182" i="33"/>
  <c r="U181" i="33"/>
  <c r="U180" i="33"/>
  <c r="U179" i="33"/>
  <c r="U178" i="33"/>
  <c r="U177" i="33"/>
  <c r="U176" i="33"/>
  <c r="U175" i="33"/>
  <c r="U174" i="33"/>
  <c r="U173" i="33"/>
  <c r="U172" i="33"/>
  <c r="U171" i="33"/>
  <c r="U170" i="33"/>
  <c r="U169" i="33"/>
  <c r="U168" i="33"/>
  <c r="U167" i="33"/>
  <c r="U166" i="33"/>
  <c r="U165" i="33"/>
  <c r="U164" i="33"/>
  <c r="U163" i="33"/>
  <c r="U162" i="33"/>
  <c r="U161" i="33"/>
  <c r="U160" i="33"/>
  <c r="U159" i="33"/>
  <c r="U158" i="33"/>
  <c r="U157" i="33"/>
  <c r="U156" i="33"/>
  <c r="U155" i="33"/>
  <c r="U154" i="33"/>
  <c r="U153" i="33"/>
  <c r="U152" i="33"/>
  <c r="U151" i="33"/>
  <c r="U150" i="33"/>
  <c r="U149" i="33"/>
  <c r="U148" i="33"/>
  <c r="U147" i="33"/>
  <c r="U146" i="33"/>
  <c r="U145" i="33"/>
  <c r="U144" i="33"/>
  <c r="U143" i="33"/>
  <c r="U142" i="33"/>
  <c r="U141" i="33"/>
  <c r="U140" i="33"/>
  <c r="U139" i="33"/>
  <c r="U138" i="33"/>
  <c r="U137" i="33"/>
  <c r="U136" i="33"/>
  <c r="U135" i="33"/>
  <c r="U134" i="33"/>
  <c r="U133" i="33"/>
  <c r="U132" i="33"/>
  <c r="U131" i="33"/>
  <c r="U130" i="33"/>
  <c r="U129" i="33"/>
  <c r="U128" i="33"/>
  <c r="U127" i="33"/>
  <c r="U126" i="33"/>
  <c r="U125" i="33"/>
  <c r="U124" i="33"/>
  <c r="U123" i="33"/>
  <c r="U122" i="33"/>
  <c r="U121" i="33"/>
  <c r="U120" i="33"/>
  <c r="U119" i="33"/>
  <c r="U118" i="33"/>
  <c r="U117" i="33"/>
  <c r="U116" i="33"/>
  <c r="U115" i="33"/>
  <c r="U114" i="33"/>
  <c r="U113" i="33"/>
  <c r="U112" i="33"/>
  <c r="U111" i="33"/>
  <c r="U110" i="33"/>
  <c r="U109" i="33"/>
  <c r="U108" i="33"/>
  <c r="U107" i="33"/>
  <c r="U106" i="33"/>
  <c r="U105" i="33"/>
  <c r="U104" i="33"/>
  <c r="U103" i="33"/>
  <c r="U102" i="33"/>
  <c r="U101" i="33"/>
  <c r="U100" i="33"/>
  <c r="U99" i="33"/>
  <c r="U98" i="33"/>
  <c r="U97" i="33"/>
  <c r="U96" i="33"/>
  <c r="U95" i="33"/>
  <c r="U94" i="33"/>
  <c r="U93" i="33"/>
  <c r="U92" i="33"/>
  <c r="U91" i="33"/>
  <c r="U90" i="33"/>
  <c r="U89" i="33"/>
  <c r="U88" i="33"/>
  <c r="U87" i="33"/>
  <c r="U86" i="33"/>
  <c r="U85" i="33"/>
  <c r="U84" i="33"/>
  <c r="U83" i="33"/>
  <c r="U82" i="33"/>
  <c r="U81" i="33"/>
  <c r="U80" i="33"/>
  <c r="U79" i="33"/>
  <c r="U78" i="33"/>
  <c r="U77" i="33"/>
  <c r="U76" i="33"/>
  <c r="U75" i="33"/>
  <c r="U74" i="33"/>
  <c r="U73" i="33"/>
  <c r="U72" i="33"/>
  <c r="U71" i="33"/>
  <c r="U70" i="33"/>
  <c r="U69" i="33"/>
  <c r="U68" i="33"/>
  <c r="U67" i="33"/>
  <c r="U66" i="33"/>
  <c r="U65" i="33"/>
  <c r="U64" i="33"/>
  <c r="U63" i="33"/>
  <c r="U62" i="33"/>
  <c r="U61" i="33"/>
  <c r="U60" i="33"/>
  <c r="U59" i="33"/>
  <c r="U58" i="33"/>
  <c r="U57" i="33"/>
  <c r="U56" i="33"/>
  <c r="U55" i="33"/>
  <c r="U54" i="33"/>
  <c r="U53" i="33"/>
  <c r="U52" i="33"/>
  <c r="U51" i="33"/>
  <c r="U50" i="33"/>
  <c r="U49" i="33"/>
  <c r="U48" i="33"/>
  <c r="U47" i="33"/>
  <c r="U46" i="33"/>
  <c r="U45" i="33"/>
  <c r="U44" i="33"/>
  <c r="U43" i="33"/>
  <c r="U42" i="33"/>
  <c r="U41" i="33"/>
  <c r="U40" i="33"/>
  <c r="U39" i="33"/>
  <c r="U38" i="33"/>
  <c r="U37" i="33"/>
  <c r="U36" i="33"/>
  <c r="U35" i="33"/>
  <c r="U34" i="33"/>
  <c r="U33" i="33"/>
  <c r="U32" i="33"/>
  <c r="U31" i="33"/>
  <c r="U30" i="33"/>
  <c r="U29" i="33"/>
  <c r="U28" i="33"/>
  <c r="U27" i="33"/>
  <c r="U26" i="33"/>
  <c r="U25" i="33"/>
  <c r="U24" i="33"/>
  <c r="U23" i="33"/>
  <c r="U22" i="33"/>
  <c r="U21" i="33"/>
  <c r="U20" i="33"/>
  <c r="U19" i="33"/>
  <c r="U18" i="33"/>
  <c r="U17" i="33"/>
  <c r="U16" i="33"/>
  <c r="U15" i="33"/>
  <c r="U263" i="35"/>
  <c r="U262" i="35"/>
  <c r="U261" i="35"/>
  <c r="U260" i="35"/>
  <c r="U259" i="35"/>
  <c r="U258" i="35"/>
  <c r="U257" i="35"/>
  <c r="U256" i="35"/>
  <c r="U255" i="35"/>
  <c r="U254" i="35"/>
  <c r="U253" i="35"/>
  <c r="U252" i="35"/>
  <c r="U251" i="35"/>
  <c r="U250" i="35"/>
  <c r="U249" i="35"/>
  <c r="U248" i="35"/>
  <c r="U247" i="35"/>
  <c r="U246" i="35"/>
  <c r="U245" i="35"/>
  <c r="U244" i="35"/>
  <c r="U243" i="35"/>
  <c r="U242" i="35"/>
  <c r="U241" i="35"/>
  <c r="U240" i="35"/>
  <c r="U239" i="35"/>
  <c r="U238" i="35"/>
  <c r="U237" i="35"/>
  <c r="U236" i="35"/>
  <c r="U235" i="35"/>
  <c r="U234" i="35"/>
  <c r="U233" i="35"/>
  <c r="U232" i="35"/>
  <c r="U231" i="35"/>
  <c r="U230" i="35"/>
  <c r="U229" i="35"/>
  <c r="U228" i="35"/>
  <c r="U227" i="35"/>
  <c r="U226" i="35"/>
  <c r="U225" i="35"/>
  <c r="U224" i="35"/>
  <c r="U223" i="35"/>
  <c r="U222" i="35"/>
  <c r="U221" i="35"/>
  <c r="U220" i="35"/>
  <c r="U219" i="35"/>
  <c r="U218" i="35"/>
  <c r="U217" i="35"/>
  <c r="U216" i="35"/>
  <c r="U215" i="35"/>
  <c r="U214" i="35"/>
  <c r="U213" i="35"/>
  <c r="U212" i="35"/>
  <c r="U211" i="35"/>
  <c r="U210" i="35"/>
  <c r="U209" i="35"/>
  <c r="U208" i="35"/>
  <c r="U207" i="35"/>
  <c r="U206" i="35"/>
  <c r="U205" i="35"/>
  <c r="U204" i="35"/>
  <c r="U203" i="35"/>
  <c r="U202" i="35"/>
  <c r="U201" i="35"/>
  <c r="U200" i="35"/>
  <c r="U199" i="35"/>
  <c r="U198" i="35"/>
  <c r="U197" i="35"/>
  <c r="U196" i="35"/>
  <c r="U195" i="35"/>
  <c r="U194" i="35"/>
  <c r="U193" i="35"/>
  <c r="U192" i="35"/>
  <c r="U191" i="35"/>
  <c r="U190" i="35"/>
  <c r="U189" i="35"/>
  <c r="U188" i="35"/>
  <c r="U187" i="35"/>
  <c r="U186" i="35"/>
  <c r="U185" i="35"/>
  <c r="U184" i="35"/>
  <c r="U183" i="35"/>
  <c r="U182" i="35"/>
  <c r="U181" i="35"/>
  <c r="U180" i="35"/>
  <c r="U179" i="35"/>
  <c r="U178" i="35"/>
  <c r="U177" i="35"/>
  <c r="U176" i="35"/>
  <c r="U175" i="35"/>
  <c r="U174" i="35"/>
  <c r="U173" i="35"/>
  <c r="U172" i="35"/>
  <c r="U171" i="35"/>
  <c r="U170" i="35"/>
  <c r="U169" i="35"/>
  <c r="U168" i="35"/>
  <c r="U167" i="35"/>
  <c r="U166" i="35"/>
  <c r="U165" i="35"/>
  <c r="U164" i="35"/>
  <c r="U163" i="35"/>
  <c r="U162" i="35"/>
  <c r="U161" i="35"/>
  <c r="U160" i="35"/>
  <c r="U159" i="35"/>
  <c r="U158" i="35"/>
  <c r="U157" i="35"/>
  <c r="U156" i="35"/>
  <c r="U155" i="35"/>
  <c r="U154" i="35"/>
  <c r="U153" i="35"/>
  <c r="U152" i="35"/>
  <c r="U151" i="35"/>
  <c r="U150" i="35"/>
  <c r="U149" i="35"/>
  <c r="U148" i="35"/>
  <c r="U147" i="35"/>
  <c r="U146" i="35"/>
  <c r="U145" i="35"/>
  <c r="U144" i="35"/>
  <c r="U143" i="35"/>
  <c r="U142" i="35"/>
  <c r="U141" i="35"/>
  <c r="U140" i="35"/>
  <c r="U139" i="35"/>
  <c r="U138" i="35"/>
  <c r="U137" i="35"/>
  <c r="U136" i="35"/>
  <c r="U135" i="35"/>
  <c r="U134" i="35"/>
  <c r="U133" i="35"/>
  <c r="U132" i="35"/>
  <c r="U131" i="35"/>
  <c r="U130" i="35"/>
  <c r="U129" i="35"/>
  <c r="U128" i="35"/>
  <c r="U127" i="35"/>
  <c r="U126" i="35"/>
  <c r="U125" i="35"/>
  <c r="U124" i="35"/>
  <c r="U123" i="35"/>
  <c r="U122" i="35"/>
  <c r="U121" i="35"/>
  <c r="U120" i="35"/>
  <c r="U119" i="35"/>
  <c r="U118" i="35"/>
  <c r="U117" i="35"/>
  <c r="U116" i="35"/>
  <c r="U115" i="35"/>
  <c r="U114" i="35"/>
  <c r="U113" i="35"/>
  <c r="U112" i="35"/>
  <c r="U111" i="35"/>
  <c r="U110" i="35"/>
  <c r="U109" i="35"/>
  <c r="U108" i="35"/>
  <c r="U107" i="35"/>
  <c r="U106" i="35"/>
  <c r="U105" i="35"/>
  <c r="U104" i="35"/>
  <c r="U103" i="35"/>
  <c r="U102" i="35"/>
  <c r="U101" i="35"/>
  <c r="U100" i="35"/>
  <c r="U99" i="35"/>
  <c r="U98" i="35"/>
  <c r="U97" i="35"/>
  <c r="U96" i="35"/>
  <c r="U95" i="35"/>
  <c r="U94" i="35"/>
  <c r="U93" i="35"/>
  <c r="U92" i="35"/>
  <c r="U91" i="35"/>
  <c r="U90" i="35"/>
  <c r="U89" i="35"/>
  <c r="U88" i="35"/>
  <c r="U87" i="35"/>
  <c r="U86" i="35"/>
  <c r="U85" i="35"/>
  <c r="U84" i="35"/>
  <c r="U83" i="35"/>
  <c r="U82" i="35"/>
  <c r="U81" i="35"/>
  <c r="U80" i="35"/>
  <c r="U79" i="35"/>
  <c r="U78" i="35"/>
  <c r="U77" i="35"/>
  <c r="U76" i="35"/>
  <c r="U75" i="35"/>
  <c r="U74" i="35"/>
  <c r="U73" i="35"/>
  <c r="U72" i="35"/>
  <c r="U71" i="35"/>
  <c r="U70" i="35"/>
  <c r="U69" i="35"/>
  <c r="U68" i="35"/>
  <c r="U67" i="35"/>
  <c r="U66" i="35"/>
  <c r="U65" i="35"/>
  <c r="U64" i="35"/>
  <c r="U63" i="35"/>
  <c r="U62" i="35"/>
  <c r="U61" i="35"/>
  <c r="U60" i="35"/>
  <c r="U59" i="35"/>
  <c r="U58" i="35"/>
  <c r="U57" i="35"/>
  <c r="U56" i="35"/>
  <c r="U55" i="35"/>
  <c r="U54" i="35"/>
  <c r="U53" i="35"/>
  <c r="U52" i="35"/>
  <c r="U51" i="35"/>
  <c r="U50" i="35"/>
  <c r="U49" i="35"/>
  <c r="U48" i="35"/>
  <c r="U47" i="35"/>
  <c r="U46" i="35"/>
  <c r="U45" i="35"/>
  <c r="U44" i="35"/>
  <c r="U43" i="35"/>
  <c r="U42" i="35"/>
  <c r="U41" i="35"/>
  <c r="U40" i="35"/>
  <c r="U39" i="35"/>
  <c r="U38" i="35"/>
  <c r="U37" i="35"/>
  <c r="U36" i="35"/>
  <c r="U35" i="35"/>
  <c r="U34" i="35"/>
  <c r="U33" i="35"/>
  <c r="U32" i="35"/>
  <c r="U31" i="35"/>
  <c r="U30" i="35"/>
  <c r="U29" i="35"/>
  <c r="U28" i="35"/>
  <c r="U27" i="35"/>
  <c r="U26" i="35"/>
  <c r="U25" i="35"/>
  <c r="U24" i="35"/>
  <c r="U23" i="35"/>
  <c r="U22" i="35"/>
  <c r="U21" i="35"/>
  <c r="U20" i="35"/>
  <c r="U19" i="35"/>
  <c r="U18" i="35"/>
  <c r="U17" i="35"/>
  <c r="U16" i="35"/>
  <c r="U15" i="35"/>
  <c r="U14" i="35"/>
  <c r="J1533" i="39" s="1"/>
  <c r="A8" i="39" l="1"/>
  <c r="S6" i="3"/>
  <c r="A51" i="39" s="1"/>
  <c r="P6" i="39"/>
  <c r="J607" i="39" l="1"/>
  <c r="J591" i="39"/>
  <c r="J585" i="39"/>
  <c r="J776" i="39" l="1"/>
  <c r="J774" i="39"/>
  <c r="J773" i="39"/>
  <c r="J772" i="39"/>
  <c r="J771" i="39"/>
  <c r="J770" i="39"/>
  <c r="J768" i="39"/>
  <c r="J767" i="39"/>
  <c r="J766" i="39"/>
  <c r="J765" i="39"/>
  <c r="J764" i="39"/>
  <c r="J763" i="39"/>
  <c r="J762" i="39"/>
  <c r="J760" i="39"/>
  <c r="J759" i="39"/>
  <c r="J758" i="39"/>
  <c r="J757" i="39"/>
  <c r="J756" i="39"/>
  <c r="J755" i="39"/>
  <c r="J754" i="39"/>
  <c r="J753" i="39"/>
  <c r="J752" i="39"/>
  <c r="J751" i="39"/>
  <c r="J750" i="39"/>
  <c r="J749" i="39"/>
  <c r="J748" i="39"/>
  <c r="J747" i="39"/>
  <c r="J746" i="39"/>
  <c r="J745" i="39"/>
  <c r="J744" i="39"/>
  <c r="J743" i="39"/>
  <c r="J742" i="39"/>
  <c r="J741" i="39"/>
  <c r="J740" i="39"/>
  <c r="J739" i="39"/>
  <c r="J738" i="39"/>
  <c r="J737" i="39"/>
  <c r="J736" i="39"/>
  <c r="J735" i="39"/>
  <c r="J734" i="39"/>
  <c r="J733" i="39"/>
  <c r="J732" i="39"/>
  <c r="J731" i="39"/>
  <c r="J730" i="39"/>
  <c r="J729" i="39"/>
  <c r="J728" i="39"/>
  <c r="J727" i="39"/>
  <c r="J726" i="39"/>
  <c r="J725" i="39"/>
  <c r="J724" i="39"/>
  <c r="J723" i="39"/>
  <c r="J722" i="39"/>
  <c r="J721" i="39"/>
  <c r="J720" i="39"/>
  <c r="J719" i="39"/>
  <c r="J713" i="39"/>
  <c r="J718" i="39"/>
  <c r="J717" i="39"/>
  <c r="J716" i="39"/>
  <c r="J715" i="39"/>
  <c r="J714" i="39"/>
  <c r="J712" i="39"/>
  <c r="J711" i="39"/>
  <c r="J710" i="39"/>
  <c r="J709" i="39"/>
  <c r="J708" i="39"/>
  <c r="J707" i="39"/>
  <c r="J706" i="39"/>
  <c r="J705" i="39"/>
  <c r="J704" i="39"/>
  <c r="J703" i="39"/>
  <c r="J702" i="39"/>
  <c r="J701" i="39"/>
  <c r="J700" i="39"/>
  <c r="J699" i="39"/>
  <c r="J698" i="39"/>
  <c r="J697" i="39"/>
  <c r="J696" i="39"/>
  <c r="J695" i="39"/>
  <c r="J694" i="39"/>
  <c r="J693" i="39"/>
  <c r="J692" i="39"/>
  <c r="J691" i="39"/>
  <c r="J690" i="39"/>
  <c r="J689" i="39"/>
  <c r="J688" i="39"/>
  <c r="J687" i="39"/>
  <c r="J686" i="39"/>
  <c r="J685" i="39"/>
  <c r="J684" i="39"/>
  <c r="J683" i="39"/>
  <c r="J682" i="39"/>
  <c r="J681" i="39"/>
  <c r="J680" i="39"/>
  <c r="J679" i="39"/>
  <c r="J678" i="39"/>
  <c r="J677" i="39"/>
  <c r="J676" i="39"/>
  <c r="J675" i="39"/>
  <c r="J674" i="39"/>
  <c r="J673" i="39"/>
  <c r="J672" i="39"/>
  <c r="J671" i="39"/>
  <c r="J670" i="39"/>
  <c r="J669" i="39"/>
  <c r="J663" i="39"/>
  <c r="J651" i="39"/>
  <c r="J640" i="39"/>
  <c r="J619" i="39"/>
  <c r="J668" i="39"/>
  <c r="J667" i="39"/>
  <c r="J666" i="39"/>
  <c r="J665" i="39"/>
  <c r="J664" i="39"/>
  <c r="J662" i="39"/>
  <c r="J661" i="39"/>
  <c r="J660" i="39"/>
  <c r="J659" i="39"/>
  <c r="J658" i="39"/>
  <c r="J657" i="39"/>
  <c r="J656" i="39"/>
  <c r="J655" i="39"/>
  <c r="J654" i="39"/>
  <c r="J653" i="39"/>
  <c r="J652" i="39"/>
  <c r="J650" i="39"/>
  <c r="J649" i="39"/>
  <c r="J648" i="39"/>
  <c r="J647" i="39"/>
  <c r="J646" i="39"/>
  <c r="J645" i="39"/>
  <c r="J644" i="39"/>
  <c r="J643" i="39"/>
  <c r="J642" i="39"/>
  <c r="J641" i="39"/>
  <c r="J639" i="39"/>
  <c r="J638" i="39"/>
  <c r="J637" i="39"/>
  <c r="J636" i="39"/>
  <c r="J635" i="39"/>
  <c r="J634" i="39"/>
  <c r="J633" i="39"/>
  <c r="J632" i="39"/>
  <c r="J631" i="39"/>
  <c r="J630" i="39"/>
  <c r="J629" i="39"/>
  <c r="J628" i="39"/>
  <c r="J627" i="39"/>
  <c r="J626" i="39"/>
  <c r="J625" i="39"/>
  <c r="J624" i="39"/>
  <c r="J623" i="39"/>
  <c r="J622" i="39"/>
  <c r="J621" i="39"/>
  <c r="J620" i="39"/>
  <c r="J618" i="39"/>
  <c r="J617" i="39"/>
  <c r="J616" i="39"/>
  <c r="J615" i="39"/>
  <c r="J614" i="39"/>
  <c r="J613" i="39"/>
  <c r="J612" i="39"/>
  <c r="J611" i="39"/>
  <c r="J610" i="39"/>
  <c r="J609" i="39"/>
  <c r="J608" i="39"/>
  <c r="J606" i="39"/>
  <c r="J605" i="39"/>
  <c r="J604" i="39"/>
  <c r="J603" i="39"/>
  <c r="J602" i="39"/>
  <c r="J601" i="39"/>
  <c r="J600" i="39"/>
  <c r="J599" i="39"/>
  <c r="J598" i="39"/>
  <c r="J597" i="39"/>
  <c r="J596" i="39"/>
  <c r="J595" i="39"/>
  <c r="J594" i="39"/>
  <c r="J593" i="39"/>
  <c r="J592" i="39"/>
  <c r="J590" i="39"/>
  <c r="J589" i="39"/>
  <c r="J588" i="39"/>
  <c r="J587" i="39"/>
  <c r="J586" i="39"/>
  <c r="J575" i="39"/>
  <c r="J584" i="39"/>
  <c r="J583" i="39"/>
  <c r="J582" i="39"/>
  <c r="J581" i="39"/>
  <c r="J580" i="39"/>
  <c r="J579" i="39"/>
  <c r="J578" i="39"/>
  <c r="J577" i="39"/>
  <c r="J576" i="39"/>
  <c r="J574" i="39"/>
  <c r="J573" i="39"/>
  <c r="J572" i="39"/>
  <c r="J571" i="39"/>
  <c r="J570" i="39"/>
  <c r="J569" i="39"/>
  <c r="J568" i="39"/>
  <c r="J567" i="39"/>
  <c r="J566" i="39"/>
  <c r="J565" i="39"/>
  <c r="J564" i="39"/>
  <c r="J563" i="39"/>
  <c r="J562" i="39"/>
  <c r="J561" i="39"/>
  <c r="J560" i="39"/>
  <c r="J559" i="39"/>
  <c r="J558" i="39"/>
  <c r="J557" i="39"/>
  <c r="J556" i="39"/>
  <c r="J555" i="39"/>
  <c r="J554" i="39"/>
  <c r="J553" i="39"/>
  <c r="J552" i="39"/>
  <c r="J551" i="39"/>
  <c r="J550" i="39"/>
  <c r="J549" i="39"/>
  <c r="J548" i="39"/>
  <c r="J547" i="39"/>
  <c r="J546" i="39"/>
  <c r="J545" i="39"/>
  <c r="J544" i="39"/>
  <c r="J543" i="39"/>
  <c r="J542" i="39"/>
  <c r="J541" i="39"/>
  <c r="J540" i="39"/>
  <c r="J539" i="39"/>
  <c r="J538" i="39"/>
  <c r="J537" i="39"/>
  <c r="J536" i="39"/>
  <c r="J535" i="39"/>
  <c r="J534" i="39"/>
  <c r="J533" i="39"/>
  <c r="J532" i="39"/>
  <c r="J531" i="39"/>
  <c r="J530" i="39"/>
  <c r="J529" i="39"/>
  <c r="J528" i="39"/>
  <c r="J527" i="39"/>
  <c r="J526" i="39"/>
  <c r="J525" i="39"/>
  <c r="J524" i="39"/>
  <c r="J523" i="39"/>
  <c r="J522" i="39"/>
  <c r="J521" i="39"/>
  <c r="G576" i="39"/>
  <c r="G567" i="39"/>
  <c r="G600" i="39"/>
  <c r="G591" i="39"/>
  <c r="G586" i="39"/>
  <c r="G755" i="39"/>
  <c r="G749" i="39"/>
  <c r="G743" i="39"/>
  <c r="G735" i="39"/>
  <c r="G760" i="39"/>
  <c r="G759" i="39"/>
  <c r="G758" i="39"/>
  <c r="G757" i="39"/>
  <c r="G756" i="39"/>
  <c r="G754" i="39"/>
  <c r="G753" i="39"/>
  <c r="G752" i="39"/>
  <c r="G751" i="39"/>
  <c r="G750" i="39"/>
  <c r="G748" i="39"/>
  <c r="G747" i="39"/>
  <c r="G746" i="39"/>
  <c r="G745" i="39"/>
  <c r="G744" i="39"/>
  <c r="G742" i="39"/>
  <c r="G741" i="39"/>
  <c r="G740" i="39"/>
  <c r="G739" i="39"/>
  <c r="G738" i="39"/>
  <c r="G737" i="39"/>
  <c r="G736" i="39"/>
  <c r="G734" i="39"/>
  <c r="G733" i="39"/>
  <c r="G732" i="39"/>
  <c r="G731" i="39"/>
  <c r="G730" i="39"/>
  <c r="G729" i="39"/>
  <c r="G728" i="39"/>
  <c r="G727" i="39"/>
  <c r="G726" i="39"/>
  <c r="G725" i="39"/>
  <c r="G724" i="39"/>
  <c r="G723" i="39"/>
  <c r="G722" i="39"/>
  <c r="G721" i="39"/>
  <c r="G720" i="39"/>
  <c r="G719" i="39"/>
  <c r="G718" i="39"/>
  <c r="G717" i="39"/>
  <c r="G716" i="39"/>
  <c r="G715" i="39"/>
  <c r="G714" i="39"/>
  <c r="G713" i="39"/>
  <c r="G712" i="39"/>
  <c r="G711" i="39"/>
  <c r="G710" i="39"/>
  <c r="G709" i="39"/>
  <c r="G708" i="39"/>
  <c r="G707" i="39"/>
  <c r="G706" i="39"/>
  <c r="G705" i="39"/>
  <c r="G704" i="39"/>
  <c r="G703" i="39"/>
  <c r="G702" i="39"/>
  <c r="G701" i="39"/>
  <c r="G700" i="39"/>
  <c r="G699" i="39"/>
  <c r="G698" i="39"/>
  <c r="G697" i="39"/>
  <c r="G696" i="39"/>
  <c r="G695" i="39"/>
  <c r="G694" i="39"/>
  <c r="G693" i="39"/>
  <c r="G692" i="39"/>
  <c r="G691" i="39"/>
  <c r="G690" i="39"/>
  <c r="G689" i="39"/>
  <c r="G688" i="39"/>
  <c r="G687" i="39"/>
  <c r="G686" i="39"/>
  <c r="G683" i="39"/>
  <c r="G680" i="39"/>
  <c r="G674" i="39"/>
  <c r="G669" i="39"/>
  <c r="G662" i="39"/>
  <c r="G655" i="39"/>
  <c r="G648" i="39"/>
  <c r="G632" i="39"/>
  <c r="G620" i="39"/>
  <c r="G685" i="39"/>
  <c r="G684" i="39"/>
  <c r="G682" i="39"/>
  <c r="G681" i="39"/>
  <c r="G679" i="39"/>
  <c r="G678" i="39"/>
  <c r="G677" i="39"/>
  <c r="G676" i="39"/>
  <c r="G675" i="39"/>
  <c r="G673" i="39"/>
  <c r="G672" i="39"/>
  <c r="G671" i="39"/>
  <c r="G670" i="39"/>
  <c r="G668" i="39"/>
  <c r="G667" i="39"/>
  <c r="G666" i="39"/>
  <c r="G665" i="39"/>
  <c r="G664" i="39"/>
  <c r="G663" i="39"/>
  <c r="G661" i="39"/>
  <c r="G660" i="39"/>
  <c r="G659" i="39"/>
  <c r="G658" i="39"/>
  <c r="G657" i="39"/>
  <c r="G656" i="39"/>
  <c r="G654" i="39"/>
  <c r="G653" i="39"/>
  <c r="G652" i="39"/>
  <c r="G651" i="39"/>
  <c r="G650" i="39"/>
  <c r="G649" i="39"/>
  <c r="G647" i="39"/>
  <c r="G646" i="39"/>
  <c r="G645" i="39"/>
  <c r="G644" i="39"/>
  <c r="G643" i="39"/>
  <c r="G642" i="39"/>
  <c r="G641" i="39"/>
  <c r="G640" i="39"/>
  <c r="G639" i="39"/>
  <c r="G638" i="39"/>
  <c r="G637" i="39"/>
  <c r="G636" i="39"/>
  <c r="G635" i="39"/>
  <c r="G634" i="39"/>
  <c r="G633" i="39"/>
  <c r="G631" i="39"/>
  <c r="G630" i="39"/>
  <c r="G629" i="39"/>
  <c r="G628" i="39"/>
  <c r="G627" i="39"/>
  <c r="G626" i="39"/>
  <c r="G625" i="39"/>
  <c r="G624" i="39"/>
  <c r="G623" i="39"/>
  <c r="G622" i="39"/>
  <c r="G621" i="39"/>
  <c r="G619" i="39"/>
  <c r="G618" i="39"/>
  <c r="G617" i="39"/>
  <c r="G616" i="39"/>
  <c r="G615" i="39"/>
  <c r="G614" i="39"/>
  <c r="G613" i="39"/>
  <c r="G612" i="39"/>
  <c r="G611" i="39"/>
  <c r="G610" i="39"/>
  <c r="G609" i="39"/>
  <c r="G608" i="39"/>
  <c r="G607" i="39"/>
  <c r="G606" i="39"/>
  <c r="G605" i="39"/>
  <c r="G604" i="39"/>
  <c r="G603" i="39"/>
  <c r="G602" i="39"/>
  <c r="G601" i="39"/>
  <c r="G599" i="39"/>
  <c r="G598" i="39"/>
  <c r="G597" i="39"/>
  <c r="G596" i="39"/>
  <c r="G595" i="39"/>
  <c r="G594" i="39"/>
  <c r="G593" i="39"/>
  <c r="G592" i="39"/>
  <c r="G590" i="39"/>
  <c r="G589" i="39"/>
  <c r="G588" i="39"/>
  <c r="G587" i="39"/>
  <c r="G585" i="39"/>
  <c r="G584" i="39"/>
  <c r="G583" i="39"/>
  <c r="G582" i="39"/>
  <c r="G581" i="39"/>
  <c r="G580" i="39"/>
  <c r="G579" i="39"/>
  <c r="G578" i="39"/>
  <c r="G577" i="39"/>
  <c r="G575" i="39"/>
  <c r="G574" i="39"/>
  <c r="G573" i="39"/>
  <c r="G572" i="39"/>
  <c r="G571" i="39"/>
  <c r="G570" i="39"/>
  <c r="G569" i="39"/>
  <c r="G568" i="39"/>
  <c r="G566" i="39"/>
  <c r="G565" i="39"/>
  <c r="G564" i="39"/>
  <c r="G563" i="39"/>
  <c r="G562" i="39"/>
  <c r="G561" i="39"/>
  <c r="G560" i="39"/>
  <c r="G559" i="39"/>
  <c r="G558" i="39"/>
  <c r="G557" i="39"/>
  <c r="G556" i="39"/>
  <c r="G555" i="39"/>
  <c r="G554" i="39"/>
  <c r="G553" i="39"/>
  <c r="G552" i="39"/>
  <c r="G551" i="39"/>
  <c r="G550" i="39"/>
  <c r="G549" i="39"/>
  <c r="G548" i="39"/>
  <c r="G547" i="39"/>
  <c r="G546" i="39"/>
  <c r="G545" i="39"/>
  <c r="G544" i="39"/>
  <c r="G543" i="39"/>
  <c r="G542" i="39"/>
  <c r="G541" i="39"/>
  <c r="G540" i="39"/>
  <c r="G539" i="39"/>
  <c r="G538" i="39"/>
  <c r="G537" i="39"/>
  <c r="G536" i="39"/>
  <c r="G535" i="39"/>
  <c r="G534" i="39"/>
  <c r="G533" i="39"/>
  <c r="G532" i="39"/>
  <c r="G531" i="39"/>
  <c r="G530" i="39"/>
  <c r="G529" i="39"/>
  <c r="G528" i="39"/>
  <c r="G527" i="39"/>
  <c r="G526" i="39"/>
  <c r="G525" i="39"/>
  <c r="G524" i="39"/>
  <c r="G523" i="39"/>
  <c r="G522" i="39"/>
  <c r="G521" i="39"/>
  <c r="G520" i="39"/>
  <c r="G519" i="39"/>
  <c r="G518" i="39"/>
  <c r="G517" i="39"/>
  <c r="G516" i="39"/>
  <c r="G515" i="39"/>
  <c r="G514" i="39"/>
  <c r="J520" i="39"/>
  <c r="J519" i="39"/>
  <c r="J518" i="39"/>
  <c r="J517" i="39"/>
  <c r="J516" i="39"/>
  <c r="J515" i="39"/>
  <c r="J514" i="39"/>
  <c r="J513" i="39"/>
  <c r="J512" i="39"/>
  <c r="G513" i="39"/>
  <c r="G512" i="39"/>
  <c r="G511" i="39"/>
  <c r="J5" i="39"/>
  <c r="J7" i="39"/>
  <c r="J8" i="39"/>
  <c r="J511" i="39"/>
  <c r="J510" i="39"/>
  <c r="J509" i="39"/>
  <c r="J508" i="39"/>
  <c r="G510" i="39"/>
  <c r="G509" i="39"/>
  <c r="G508" i="39"/>
  <c r="K1259" i="39" l="1"/>
  <c r="K1260" i="39"/>
  <c r="K1261" i="39"/>
  <c r="K1262" i="39"/>
  <c r="K1263" i="39"/>
  <c r="K1264" i="39"/>
  <c r="K1265" i="39"/>
  <c r="K1266" i="39"/>
  <c r="K1267" i="39"/>
  <c r="K1268" i="39"/>
  <c r="K1269" i="39"/>
  <c r="K1270" i="39"/>
  <c r="K1271" i="39"/>
  <c r="K1272" i="39"/>
  <c r="K1273" i="39"/>
  <c r="K1274" i="39"/>
  <c r="K1275" i="39"/>
  <c r="K1276" i="39"/>
  <c r="K1277" i="39"/>
  <c r="K1278" i="39"/>
  <c r="K1279" i="39"/>
  <c r="K1280" i="39"/>
  <c r="K1281" i="39"/>
  <c r="K1282" i="39"/>
  <c r="K1283" i="39"/>
  <c r="K1284" i="39"/>
  <c r="K1285" i="39"/>
  <c r="K1286" i="39"/>
  <c r="K1287" i="39"/>
  <c r="K1288" i="39"/>
  <c r="K1289" i="39"/>
  <c r="K1290" i="39"/>
  <c r="K1291" i="39"/>
  <c r="K1292" i="39"/>
  <c r="K1293" i="39"/>
  <c r="K1294" i="39"/>
  <c r="K1295" i="39"/>
  <c r="K1296" i="39"/>
  <c r="K1297" i="39"/>
  <c r="K1298" i="39"/>
  <c r="K1299" i="39"/>
  <c r="K1300" i="39"/>
  <c r="K1301" i="39"/>
  <c r="K1302" i="39"/>
  <c r="K1303" i="39"/>
  <c r="K1304" i="39"/>
  <c r="K1305" i="39"/>
  <c r="K1306" i="39"/>
  <c r="K1307" i="39"/>
  <c r="K1308" i="39"/>
  <c r="K1309" i="39"/>
  <c r="K1310" i="39"/>
  <c r="K1311" i="39"/>
  <c r="K1312" i="39"/>
  <c r="K1313" i="39"/>
  <c r="K1314" i="39"/>
  <c r="K1315" i="39"/>
  <c r="K1316" i="39"/>
  <c r="K1317" i="39"/>
  <c r="K1318" i="39"/>
  <c r="K1319" i="39"/>
  <c r="K1320" i="39"/>
  <c r="K1321" i="39"/>
  <c r="K1322" i="39"/>
  <c r="K1323" i="39"/>
  <c r="K1324" i="39"/>
  <c r="K1325" i="39"/>
  <c r="K1326" i="39"/>
  <c r="K1327" i="39"/>
  <c r="K1328" i="39"/>
  <c r="K1329" i="39"/>
  <c r="K1330" i="39"/>
  <c r="K1331" i="39"/>
  <c r="K1332" i="39"/>
  <c r="K1333" i="39"/>
  <c r="K1334" i="39"/>
  <c r="K1335" i="39"/>
  <c r="K1336" i="39"/>
  <c r="K1337" i="39"/>
  <c r="K1338" i="39"/>
  <c r="K1339" i="39"/>
  <c r="K1340" i="39"/>
  <c r="K1341" i="39"/>
  <c r="K1342" i="39"/>
  <c r="K1343" i="39"/>
  <c r="K1344" i="39"/>
  <c r="K1345" i="39"/>
  <c r="K1346" i="39"/>
  <c r="K1347" i="39"/>
  <c r="K1348" i="39"/>
  <c r="K1349" i="39"/>
  <c r="K1350" i="39"/>
  <c r="K1351" i="39"/>
  <c r="K1352" i="39"/>
  <c r="K1353" i="39"/>
  <c r="K1354" i="39"/>
  <c r="K1355" i="39"/>
  <c r="K1356" i="39"/>
  <c r="K1357" i="39"/>
  <c r="K1358" i="39"/>
  <c r="K1359" i="39"/>
  <c r="K1360" i="39"/>
  <c r="K1361" i="39"/>
  <c r="K1362" i="39"/>
  <c r="K1363" i="39"/>
  <c r="K1364" i="39"/>
  <c r="K1365" i="39"/>
  <c r="K1366" i="39"/>
  <c r="K1367" i="39"/>
  <c r="K1368" i="39"/>
  <c r="K1369" i="39"/>
  <c r="K1370" i="39"/>
  <c r="K1371" i="39"/>
  <c r="K1372" i="39"/>
  <c r="K1373" i="39"/>
  <c r="K1374" i="39"/>
  <c r="K1375" i="39"/>
  <c r="K1376" i="39"/>
  <c r="K1377" i="39"/>
  <c r="K1378" i="39"/>
  <c r="K1379" i="39"/>
  <c r="K1380" i="39"/>
  <c r="K1381" i="39"/>
  <c r="K1382" i="39"/>
  <c r="K1383" i="39"/>
  <c r="K1384" i="39"/>
  <c r="K1385" i="39"/>
  <c r="K1386" i="39"/>
  <c r="K1387" i="39"/>
  <c r="K1388" i="39"/>
  <c r="K1389" i="39"/>
  <c r="K1390" i="39"/>
  <c r="K1391" i="39"/>
  <c r="K1392" i="39"/>
  <c r="K1393" i="39"/>
  <c r="K1394" i="39"/>
  <c r="K1395" i="39"/>
  <c r="K1396" i="39"/>
  <c r="K1397" i="39"/>
  <c r="K1398" i="39"/>
  <c r="K1399" i="39"/>
  <c r="K1400" i="39"/>
  <c r="K1401" i="39"/>
  <c r="K1402" i="39"/>
  <c r="K1403" i="39"/>
  <c r="K1404" i="39"/>
  <c r="K1405" i="39"/>
  <c r="K1406" i="39"/>
  <c r="K1407" i="39"/>
  <c r="K1408" i="39"/>
  <c r="K1409" i="39"/>
  <c r="K1410" i="39"/>
  <c r="K1411" i="39"/>
  <c r="K1412" i="39"/>
  <c r="K1413" i="39"/>
  <c r="K1414" i="39"/>
  <c r="K1415" i="39"/>
  <c r="K1416" i="39"/>
  <c r="K1417" i="39"/>
  <c r="K1418" i="39"/>
  <c r="K1419" i="39"/>
  <c r="K1420" i="39"/>
  <c r="K1421" i="39"/>
  <c r="K1422" i="39"/>
  <c r="K1423" i="39"/>
  <c r="K1424" i="39"/>
  <c r="K1425" i="39"/>
  <c r="K1426" i="39"/>
  <c r="K1427" i="39"/>
  <c r="K1428" i="39"/>
  <c r="K1429" i="39"/>
  <c r="K1430" i="39"/>
  <c r="K1431" i="39"/>
  <c r="K1432" i="39"/>
  <c r="K1433" i="39"/>
  <c r="K1434" i="39"/>
  <c r="K1435" i="39"/>
  <c r="K1436" i="39"/>
  <c r="K1437" i="39"/>
  <c r="K1438" i="39"/>
  <c r="K1439" i="39"/>
  <c r="K1440" i="39"/>
  <c r="K1441" i="39"/>
  <c r="K1442" i="39"/>
  <c r="K1443" i="39"/>
  <c r="K1444" i="39"/>
  <c r="K1445" i="39"/>
  <c r="K1446" i="39"/>
  <c r="K1447" i="39"/>
  <c r="K1448" i="39"/>
  <c r="K1449" i="39"/>
  <c r="K1450" i="39"/>
  <c r="K1451" i="39"/>
  <c r="K1452" i="39"/>
  <c r="K1453" i="39"/>
  <c r="K1454" i="39"/>
  <c r="K1455" i="39"/>
  <c r="K1456" i="39"/>
  <c r="K1457" i="39"/>
  <c r="K1458" i="39"/>
  <c r="K1459" i="39"/>
  <c r="K1460" i="39"/>
  <c r="K1461" i="39"/>
  <c r="K1462" i="39"/>
  <c r="K1463" i="39"/>
  <c r="K1464" i="39"/>
  <c r="K1465" i="39"/>
  <c r="K1466" i="39"/>
  <c r="K1467" i="39"/>
  <c r="K1468" i="39"/>
  <c r="K1469" i="39"/>
  <c r="K1470" i="39"/>
  <c r="K1471" i="39"/>
  <c r="K1472" i="39"/>
  <c r="K1473" i="39"/>
  <c r="K1474" i="39"/>
  <c r="K1475" i="39"/>
  <c r="K1476" i="39"/>
  <c r="K1477" i="39"/>
  <c r="K1478" i="39"/>
  <c r="K1479" i="39"/>
  <c r="K1480" i="39"/>
  <c r="K1481" i="39"/>
  <c r="K1482" i="39"/>
  <c r="K1483" i="39"/>
  <c r="K1484" i="39"/>
  <c r="K1485" i="39"/>
  <c r="K1486" i="39"/>
  <c r="K1487" i="39"/>
  <c r="K1488" i="39"/>
  <c r="K1489" i="39"/>
  <c r="K1490" i="39"/>
  <c r="K1491" i="39"/>
  <c r="K1492" i="39"/>
  <c r="K1493" i="39"/>
  <c r="K1494" i="39"/>
  <c r="K1495" i="39"/>
  <c r="K1496" i="39"/>
  <c r="K1497" i="39"/>
  <c r="K1498" i="39"/>
  <c r="K1499" i="39"/>
  <c r="K1500" i="39"/>
  <c r="K1501" i="39"/>
  <c r="K1502" i="39"/>
  <c r="K1503" i="39"/>
  <c r="K1504" i="39"/>
  <c r="K1505" i="39"/>
  <c r="K1506" i="39"/>
  <c r="K1507" i="39"/>
  <c r="K1258" i="39"/>
  <c r="K1009" i="39"/>
  <c r="K1010" i="39"/>
  <c r="K1011" i="39"/>
  <c r="K1012" i="39"/>
  <c r="K1013" i="39"/>
  <c r="K1014" i="39"/>
  <c r="K1015" i="39"/>
  <c r="K1016" i="39"/>
  <c r="K1017" i="39"/>
  <c r="K1018" i="39"/>
  <c r="K1019" i="39"/>
  <c r="K1020" i="39"/>
  <c r="K1021" i="39"/>
  <c r="K1022" i="39"/>
  <c r="K1023" i="39"/>
  <c r="K1024" i="39"/>
  <c r="K1025" i="39"/>
  <c r="K1026" i="39"/>
  <c r="K1027" i="39"/>
  <c r="K1028" i="39"/>
  <c r="K1029" i="39"/>
  <c r="K1030" i="39"/>
  <c r="K1031" i="39"/>
  <c r="K1032" i="39"/>
  <c r="K1033" i="39"/>
  <c r="K1034" i="39"/>
  <c r="K1035" i="39"/>
  <c r="K1036" i="39"/>
  <c r="K1037" i="39"/>
  <c r="K1038" i="39"/>
  <c r="K1039" i="39"/>
  <c r="K1040" i="39"/>
  <c r="K1041" i="39"/>
  <c r="K1042" i="39"/>
  <c r="K1043" i="39"/>
  <c r="K1044" i="39"/>
  <c r="K1045" i="39"/>
  <c r="K1046" i="39"/>
  <c r="K1047" i="39"/>
  <c r="K1048" i="39"/>
  <c r="K1049" i="39"/>
  <c r="K1050" i="39"/>
  <c r="K1051" i="39"/>
  <c r="K1052" i="39"/>
  <c r="K1053" i="39"/>
  <c r="K1054" i="39"/>
  <c r="K1055" i="39"/>
  <c r="K1056" i="39"/>
  <c r="K1057" i="39"/>
  <c r="K1058" i="39"/>
  <c r="K1059" i="39"/>
  <c r="K1060" i="39"/>
  <c r="K1061" i="39"/>
  <c r="K1062" i="39"/>
  <c r="K1063" i="39"/>
  <c r="K1064" i="39"/>
  <c r="K1065" i="39"/>
  <c r="K1066" i="39"/>
  <c r="K1067" i="39"/>
  <c r="K1068" i="39"/>
  <c r="K1069" i="39"/>
  <c r="K1070" i="39"/>
  <c r="K1071" i="39"/>
  <c r="K1072" i="39"/>
  <c r="K1073" i="39"/>
  <c r="K1074" i="39"/>
  <c r="K1075" i="39"/>
  <c r="K1076" i="39"/>
  <c r="K1077" i="39"/>
  <c r="K1078" i="39"/>
  <c r="K1079" i="39"/>
  <c r="K1080" i="39"/>
  <c r="K1081" i="39"/>
  <c r="K1082" i="39"/>
  <c r="K1083" i="39"/>
  <c r="K1084" i="39"/>
  <c r="K1085" i="39"/>
  <c r="K1086" i="39"/>
  <c r="K1087" i="39"/>
  <c r="K1088" i="39"/>
  <c r="K1089" i="39"/>
  <c r="K1090" i="39"/>
  <c r="K1091" i="39"/>
  <c r="K1092" i="39"/>
  <c r="K1093" i="39"/>
  <c r="K1094" i="39"/>
  <c r="K1095" i="39"/>
  <c r="K1096" i="39"/>
  <c r="K1097" i="39"/>
  <c r="K1098" i="39"/>
  <c r="K1099" i="39"/>
  <c r="K1100" i="39"/>
  <c r="K1101" i="39"/>
  <c r="K1102" i="39"/>
  <c r="K1103" i="39"/>
  <c r="K1104" i="39"/>
  <c r="K1105" i="39"/>
  <c r="K1106" i="39"/>
  <c r="K1107" i="39"/>
  <c r="K1108" i="39"/>
  <c r="K1109" i="39"/>
  <c r="K1110" i="39"/>
  <c r="K1111" i="39"/>
  <c r="K1112" i="39"/>
  <c r="K1113" i="39"/>
  <c r="K1114" i="39"/>
  <c r="K1115" i="39"/>
  <c r="K1116" i="39"/>
  <c r="K1117" i="39"/>
  <c r="K1118" i="39"/>
  <c r="K1119" i="39"/>
  <c r="K1120" i="39"/>
  <c r="K1121" i="39"/>
  <c r="K1122" i="39"/>
  <c r="K1123" i="39"/>
  <c r="K1124" i="39"/>
  <c r="K1125" i="39"/>
  <c r="K1126" i="39"/>
  <c r="K1127" i="39"/>
  <c r="K1128" i="39"/>
  <c r="K1129" i="39"/>
  <c r="K1130" i="39"/>
  <c r="K1131" i="39"/>
  <c r="K1132" i="39"/>
  <c r="K1133" i="39"/>
  <c r="K1134" i="39"/>
  <c r="K1135" i="39"/>
  <c r="K1136" i="39"/>
  <c r="K1137" i="39"/>
  <c r="K1138" i="39"/>
  <c r="K1139" i="39"/>
  <c r="K1140" i="39"/>
  <c r="K1141" i="39"/>
  <c r="K1142" i="39"/>
  <c r="K1143" i="39"/>
  <c r="K1144" i="39"/>
  <c r="K1145" i="39"/>
  <c r="K1146" i="39"/>
  <c r="K1147" i="39"/>
  <c r="K1148" i="39"/>
  <c r="K1149" i="39"/>
  <c r="K1150" i="39"/>
  <c r="K1151" i="39"/>
  <c r="K1152" i="39"/>
  <c r="K1153" i="39"/>
  <c r="K1154" i="39"/>
  <c r="K1155" i="39"/>
  <c r="K1156" i="39"/>
  <c r="K1157" i="39"/>
  <c r="K1158" i="39"/>
  <c r="K1159" i="39"/>
  <c r="K1160" i="39"/>
  <c r="K1161" i="39"/>
  <c r="K1162" i="39"/>
  <c r="K1163" i="39"/>
  <c r="K1164" i="39"/>
  <c r="K1165" i="39"/>
  <c r="K1166" i="39"/>
  <c r="K1167" i="39"/>
  <c r="K1168" i="39"/>
  <c r="K1169" i="39"/>
  <c r="K1170" i="39"/>
  <c r="K1171" i="39"/>
  <c r="K1172" i="39"/>
  <c r="K1173" i="39"/>
  <c r="K1174" i="39"/>
  <c r="K1175" i="39"/>
  <c r="K1176" i="39"/>
  <c r="K1177" i="39"/>
  <c r="K1178" i="39"/>
  <c r="K1179" i="39"/>
  <c r="K1180" i="39"/>
  <c r="K1181" i="39"/>
  <c r="K1182" i="39"/>
  <c r="K1183" i="39"/>
  <c r="K1184" i="39"/>
  <c r="K1185" i="39"/>
  <c r="K1186" i="39"/>
  <c r="K1187" i="39"/>
  <c r="K1188" i="39"/>
  <c r="K1189" i="39"/>
  <c r="K1190" i="39"/>
  <c r="K1191" i="39"/>
  <c r="K1192" i="39"/>
  <c r="K1193" i="39"/>
  <c r="K1194" i="39"/>
  <c r="K1195" i="39"/>
  <c r="K1196" i="39"/>
  <c r="K1197" i="39"/>
  <c r="K1198" i="39"/>
  <c r="K1199" i="39"/>
  <c r="K1200" i="39"/>
  <c r="K1201" i="39"/>
  <c r="K1202" i="39"/>
  <c r="K1203" i="39"/>
  <c r="K1204" i="39"/>
  <c r="K1205" i="39"/>
  <c r="K1206" i="39"/>
  <c r="K1207" i="39"/>
  <c r="K1208" i="39"/>
  <c r="K1209" i="39"/>
  <c r="K1210" i="39"/>
  <c r="K1211" i="39"/>
  <c r="K1212" i="39"/>
  <c r="K1213" i="39"/>
  <c r="K1214" i="39"/>
  <c r="K1215" i="39"/>
  <c r="K1216" i="39"/>
  <c r="K1217" i="39"/>
  <c r="K1218" i="39"/>
  <c r="K1219" i="39"/>
  <c r="K1220" i="39"/>
  <c r="K1221" i="39"/>
  <c r="K1222" i="39"/>
  <c r="K1223" i="39"/>
  <c r="K1224" i="39"/>
  <c r="K1225" i="39"/>
  <c r="K1226" i="39"/>
  <c r="K1227" i="39"/>
  <c r="K1228" i="39"/>
  <c r="K1229" i="39"/>
  <c r="K1230" i="39"/>
  <c r="K1231" i="39"/>
  <c r="K1232" i="39"/>
  <c r="K1233" i="39"/>
  <c r="K1234" i="39"/>
  <c r="K1235" i="39"/>
  <c r="K1236" i="39"/>
  <c r="K1237" i="39"/>
  <c r="K1238" i="39"/>
  <c r="K1239" i="39"/>
  <c r="K1240" i="39"/>
  <c r="K1241" i="39"/>
  <c r="K1242" i="39"/>
  <c r="K1243" i="39"/>
  <c r="K1244" i="39"/>
  <c r="K1245" i="39"/>
  <c r="K1246" i="39"/>
  <c r="K1247" i="39"/>
  <c r="K1248" i="39"/>
  <c r="K1249" i="39"/>
  <c r="K1250" i="39"/>
  <c r="K1251" i="39"/>
  <c r="K1252" i="39"/>
  <c r="K1253" i="39"/>
  <c r="K1254" i="39"/>
  <c r="K1255" i="39"/>
  <c r="K1256" i="39"/>
  <c r="K1257" i="39"/>
  <c r="K1008" i="39"/>
  <c r="K759" i="39"/>
  <c r="K760" i="39"/>
  <c r="K761" i="39"/>
  <c r="K762" i="39"/>
  <c r="K763" i="39"/>
  <c r="K764" i="39"/>
  <c r="K765" i="39"/>
  <c r="K766" i="39"/>
  <c r="K767" i="39"/>
  <c r="K768" i="39"/>
  <c r="K769" i="39"/>
  <c r="K770" i="39"/>
  <c r="K771" i="39"/>
  <c r="K772" i="39"/>
  <c r="K773" i="39"/>
  <c r="K774" i="39"/>
  <c r="K775" i="39"/>
  <c r="K776" i="39"/>
  <c r="K777" i="39"/>
  <c r="K778" i="39"/>
  <c r="K779" i="39"/>
  <c r="K780" i="39"/>
  <c r="K781" i="39"/>
  <c r="K782" i="39"/>
  <c r="K783" i="39"/>
  <c r="K784" i="39"/>
  <c r="K785" i="39"/>
  <c r="K786" i="39"/>
  <c r="K787" i="39"/>
  <c r="K788" i="39"/>
  <c r="K789" i="39"/>
  <c r="K790" i="39"/>
  <c r="K791" i="39"/>
  <c r="K792" i="39"/>
  <c r="K793" i="39"/>
  <c r="K794" i="39"/>
  <c r="K795" i="39"/>
  <c r="K796" i="39"/>
  <c r="K797" i="39"/>
  <c r="K798" i="39"/>
  <c r="K799" i="39"/>
  <c r="K800" i="39"/>
  <c r="K801" i="39"/>
  <c r="K802" i="39"/>
  <c r="K803" i="39"/>
  <c r="K804" i="39"/>
  <c r="K805" i="39"/>
  <c r="K806" i="39"/>
  <c r="K807" i="39"/>
  <c r="K808" i="39"/>
  <c r="K809" i="39"/>
  <c r="K810" i="39"/>
  <c r="K811" i="39"/>
  <c r="K812" i="39"/>
  <c r="K813" i="39"/>
  <c r="K814" i="39"/>
  <c r="K815" i="39"/>
  <c r="K816" i="39"/>
  <c r="K817" i="39"/>
  <c r="K818" i="39"/>
  <c r="K819" i="39"/>
  <c r="K820" i="39"/>
  <c r="K821" i="39"/>
  <c r="K822" i="39"/>
  <c r="K823" i="39"/>
  <c r="K824" i="39"/>
  <c r="K825" i="39"/>
  <c r="K826" i="39"/>
  <c r="K827" i="39"/>
  <c r="K828" i="39"/>
  <c r="K829" i="39"/>
  <c r="K830" i="39"/>
  <c r="K831" i="39"/>
  <c r="K832" i="39"/>
  <c r="K833" i="39"/>
  <c r="K834" i="39"/>
  <c r="K835" i="39"/>
  <c r="K836" i="39"/>
  <c r="K837" i="39"/>
  <c r="K838" i="39"/>
  <c r="K839" i="39"/>
  <c r="K840" i="39"/>
  <c r="K841" i="39"/>
  <c r="K842" i="39"/>
  <c r="K843" i="39"/>
  <c r="K844" i="39"/>
  <c r="K845" i="39"/>
  <c r="K846" i="39"/>
  <c r="K847" i="39"/>
  <c r="K848" i="39"/>
  <c r="K849" i="39"/>
  <c r="K850" i="39"/>
  <c r="K851" i="39"/>
  <c r="K852" i="39"/>
  <c r="K853" i="39"/>
  <c r="K854" i="39"/>
  <c r="K855" i="39"/>
  <c r="K856" i="39"/>
  <c r="K857" i="39"/>
  <c r="K858" i="39"/>
  <c r="K859" i="39"/>
  <c r="K860" i="39"/>
  <c r="K861" i="39"/>
  <c r="K862" i="39"/>
  <c r="K863" i="39"/>
  <c r="K864" i="39"/>
  <c r="K865" i="39"/>
  <c r="K866" i="39"/>
  <c r="K867" i="39"/>
  <c r="K868" i="39"/>
  <c r="K869" i="39"/>
  <c r="K870" i="39"/>
  <c r="K871" i="39"/>
  <c r="K872" i="39"/>
  <c r="K873" i="39"/>
  <c r="K874" i="39"/>
  <c r="K875" i="39"/>
  <c r="K876" i="39"/>
  <c r="K877" i="39"/>
  <c r="K878" i="39"/>
  <c r="K879" i="39"/>
  <c r="K880" i="39"/>
  <c r="K881" i="39"/>
  <c r="K882" i="39"/>
  <c r="K883" i="39"/>
  <c r="K884" i="39"/>
  <c r="K885" i="39"/>
  <c r="K886" i="39"/>
  <c r="K887" i="39"/>
  <c r="K888" i="39"/>
  <c r="K889" i="39"/>
  <c r="K890" i="39"/>
  <c r="K891" i="39"/>
  <c r="K892" i="39"/>
  <c r="K893" i="39"/>
  <c r="K894" i="39"/>
  <c r="K895" i="39"/>
  <c r="K896" i="39"/>
  <c r="K897" i="39"/>
  <c r="K898" i="39"/>
  <c r="K899" i="39"/>
  <c r="K900" i="39"/>
  <c r="K901" i="39"/>
  <c r="K902" i="39"/>
  <c r="K903" i="39"/>
  <c r="K904" i="39"/>
  <c r="K905" i="39"/>
  <c r="K906" i="39"/>
  <c r="K907" i="39"/>
  <c r="K908" i="39"/>
  <c r="K909" i="39"/>
  <c r="K910" i="39"/>
  <c r="K911" i="39"/>
  <c r="K912" i="39"/>
  <c r="K913" i="39"/>
  <c r="K914" i="39"/>
  <c r="K915" i="39"/>
  <c r="K916" i="39"/>
  <c r="K917" i="39"/>
  <c r="K918" i="39"/>
  <c r="K919" i="39"/>
  <c r="K920" i="39"/>
  <c r="K921" i="39"/>
  <c r="K922" i="39"/>
  <c r="K923" i="39"/>
  <c r="K924" i="39"/>
  <c r="K925" i="39"/>
  <c r="K926" i="39"/>
  <c r="K927" i="39"/>
  <c r="K928" i="39"/>
  <c r="K929" i="39"/>
  <c r="K930" i="39"/>
  <c r="K931" i="39"/>
  <c r="K932" i="39"/>
  <c r="K933" i="39"/>
  <c r="K934" i="39"/>
  <c r="K935" i="39"/>
  <c r="K936" i="39"/>
  <c r="K937" i="39"/>
  <c r="K938" i="39"/>
  <c r="K939" i="39"/>
  <c r="K940" i="39"/>
  <c r="K941" i="39"/>
  <c r="K942" i="39"/>
  <c r="K943" i="39"/>
  <c r="K944" i="39"/>
  <c r="K945" i="39"/>
  <c r="K946" i="39"/>
  <c r="K947" i="39"/>
  <c r="K948" i="39"/>
  <c r="K949" i="39"/>
  <c r="K950" i="39"/>
  <c r="K951" i="39"/>
  <c r="K952" i="39"/>
  <c r="K953" i="39"/>
  <c r="K954" i="39"/>
  <c r="K955" i="39"/>
  <c r="K956" i="39"/>
  <c r="K957" i="39"/>
  <c r="K958" i="39"/>
  <c r="K959" i="39"/>
  <c r="K960" i="39"/>
  <c r="K961" i="39"/>
  <c r="K962" i="39"/>
  <c r="K963" i="39"/>
  <c r="K964" i="39"/>
  <c r="K965" i="39"/>
  <c r="K966" i="39"/>
  <c r="K967" i="39"/>
  <c r="K968" i="39"/>
  <c r="K969" i="39"/>
  <c r="K970" i="39"/>
  <c r="K971" i="39"/>
  <c r="K972" i="39"/>
  <c r="K973" i="39"/>
  <c r="K974" i="39"/>
  <c r="K975" i="39"/>
  <c r="K976" i="39"/>
  <c r="K977" i="39"/>
  <c r="K978" i="39"/>
  <c r="K979" i="39"/>
  <c r="K980" i="39"/>
  <c r="K981" i="39"/>
  <c r="K982" i="39"/>
  <c r="K983" i="39"/>
  <c r="K984" i="39"/>
  <c r="K985" i="39"/>
  <c r="K986" i="39"/>
  <c r="K987" i="39"/>
  <c r="K988" i="39"/>
  <c r="K989" i="39"/>
  <c r="K990" i="39"/>
  <c r="K991" i="39"/>
  <c r="K992" i="39"/>
  <c r="K993" i="39"/>
  <c r="K994" i="39"/>
  <c r="K995" i="39"/>
  <c r="K996" i="39"/>
  <c r="K997" i="39"/>
  <c r="K998" i="39"/>
  <c r="K999" i="39"/>
  <c r="K1000" i="39"/>
  <c r="K1001" i="39"/>
  <c r="K1002" i="39"/>
  <c r="K1003" i="39"/>
  <c r="K1004" i="39"/>
  <c r="K1005" i="39"/>
  <c r="K1006" i="39"/>
  <c r="K1007" i="39"/>
  <c r="K758" i="39"/>
  <c r="K509" i="39"/>
  <c r="K510" i="39"/>
  <c r="K511" i="39"/>
  <c r="K512" i="39"/>
  <c r="K513" i="39"/>
  <c r="K514" i="39"/>
  <c r="K515" i="39"/>
  <c r="K516" i="39"/>
  <c r="K517" i="39"/>
  <c r="K518" i="39"/>
  <c r="K519" i="39"/>
  <c r="K520" i="39"/>
  <c r="K521" i="39"/>
  <c r="K522" i="39"/>
  <c r="K523" i="39"/>
  <c r="K524" i="39"/>
  <c r="K525" i="39"/>
  <c r="K526" i="39"/>
  <c r="K527" i="39"/>
  <c r="K528" i="39"/>
  <c r="K529" i="39"/>
  <c r="K530" i="39"/>
  <c r="K531" i="39"/>
  <c r="K532" i="39"/>
  <c r="K533" i="39"/>
  <c r="K534" i="39"/>
  <c r="K535" i="39"/>
  <c r="K536" i="39"/>
  <c r="K537" i="39"/>
  <c r="K538" i="39"/>
  <c r="K539" i="39"/>
  <c r="K540" i="39"/>
  <c r="K541" i="39"/>
  <c r="K542" i="39"/>
  <c r="K543" i="39"/>
  <c r="K544" i="39"/>
  <c r="K545" i="39"/>
  <c r="K546" i="39"/>
  <c r="K547" i="39"/>
  <c r="K548" i="39"/>
  <c r="K549" i="39"/>
  <c r="K550" i="39"/>
  <c r="K551" i="39"/>
  <c r="K552" i="39"/>
  <c r="K553" i="39"/>
  <c r="K554" i="39"/>
  <c r="K555" i="39"/>
  <c r="K556" i="39"/>
  <c r="K557" i="39"/>
  <c r="K558" i="39"/>
  <c r="K559" i="39"/>
  <c r="K560" i="39"/>
  <c r="K561" i="39"/>
  <c r="K562" i="39"/>
  <c r="K563" i="39"/>
  <c r="K564" i="39"/>
  <c r="K565" i="39"/>
  <c r="K566" i="39"/>
  <c r="K567" i="39"/>
  <c r="K568" i="39"/>
  <c r="K569" i="39"/>
  <c r="K570" i="39"/>
  <c r="K571" i="39"/>
  <c r="K572" i="39"/>
  <c r="K573" i="39"/>
  <c r="K574" i="39"/>
  <c r="K575" i="39"/>
  <c r="K576" i="39"/>
  <c r="K577" i="39"/>
  <c r="K578" i="39"/>
  <c r="K579" i="39"/>
  <c r="K580" i="39"/>
  <c r="K581" i="39"/>
  <c r="K582" i="39"/>
  <c r="K583" i="39"/>
  <c r="K584" i="39"/>
  <c r="K585" i="39"/>
  <c r="K586" i="39"/>
  <c r="K587" i="39"/>
  <c r="K588" i="39"/>
  <c r="K589" i="39"/>
  <c r="K590" i="39"/>
  <c r="K591" i="39"/>
  <c r="K592" i="39"/>
  <c r="K593" i="39"/>
  <c r="K594" i="39"/>
  <c r="K595" i="39"/>
  <c r="K596" i="39"/>
  <c r="K597" i="39"/>
  <c r="K598" i="39"/>
  <c r="K599" i="39"/>
  <c r="K600" i="39"/>
  <c r="K601" i="39"/>
  <c r="K602" i="39"/>
  <c r="K603" i="39"/>
  <c r="K604" i="39"/>
  <c r="K605" i="39"/>
  <c r="K606" i="39"/>
  <c r="K607" i="39"/>
  <c r="K608" i="39"/>
  <c r="K609" i="39"/>
  <c r="K610" i="39"/>
  <c r="K611" i="39"/>
  <c r="K612" i="39"/>
  <c r="K613" i="39"/>
  <c r="K614" i="39"/>
  <c r="K615" i="39"/>
  <c r="K616" i="39"/>
  <c r="K617" i="39"/>
  <c r="K618" i="39"/>
  <c r="K619" i="39"/>
  <c r="K620" i="39"/>
  <c r="K621" i="39"/>
  <c r="K622" i="39"/>
  <c r="K623" i="39"/>
  <c r="K624" i="39"/>
  <c r="K625" i="39"/>
  <c r="K626" i="39"/>
  <c r="K627" i="39"/>
  <c r="K628" i="39"/>
  <c r="K629" i="39"/>
  <c r="K630" i="39"/>
  <c r="K631" i="39"/>
  <c r="K632" i="39"/>
  <c r="K633" i="39"/>
  <c r="K634" i="39"/>
  <c r="K635" i="39"/>
  <c r="K636" i="39"/>
  <c r="K637" i="39"/>
  <c r="K638" i="39"/>
  <c r="K639" i="39"/>
  <c r="K640" i="39"/>
  <c r="K641" i="39"/>
  <c r="K642" i="39"/>
  <c r="K643" i="39"/>
  <c r="K644" i="39"/>
  <c r="K645" i="39"/>
  <c r="K646" i="39"/>
  <c r="K647" i="39"/>
  <c r="K648" i="39"/>
  <c r="K649" i="39"/>
  <c r="K650" i="39"/>
  <c r="K651" i="39"/>
  <c r="K652" i="39"/>
  <c r="K653" i="39"/>
  <c r="K654" i="39"/>
  <c r="K655" i="39"/>
  <c r="K656" i="39"/>
  <c r="K657" i="39"/>
  <c r="K658" i="39"/>
  <c r="K659" i="39"/>
  <c r="K660" i="39"/>
  <c r="K661" i="39"/>
  <c r="K662" i="39"/>
  <c r="K663" i="39"/>
  <c r="K664" i="39"/>
  <c r="K665" i="39"/>
  <c r="K666" i="39"/>
  <c r="K667" i="39"/>
  <c r="K668" i="39"/>
  <c r="K669" i="39"/>
  <c r="K670" i="39"/>
  <c r="K671" i="39"/>
  <c r="K672" i="39"/>
  <c r="K673" i="39"/>
  <c r="K674" i="39"/>
  <c r="K675" i="39"/>
  <c r="K676" i="39"/>
  <c r="K677" i="39"/>
  <c r="K678" i="39"/>
  <c r="K679" i="39"/>
  <c r="K680" i="39"/>
  <c r="K681" i="39"/>
  <c r="K682" i="39"/>
  <c r="K683" i="39"/>
  <c r="K684" i="39"/>
  <c r="K685" i="39"/>
  <c r="K686" i="39"/>
  <c r="K687" i="39"/>
  <c r="K688" i="39"/>
  <c r="K689" i="39"/>
  <c r="K690" i="39"/>
  <c r="K691" i="39"/>
  <c r="K692" i="39"/>
  <c r="K693" i="39"/>
  <c r="K694" i="39"/>
  <c r="K695" i="39"/>
  <c r="K696" i="39"/>
  <c r="K697" i="39"/>
  <c r="K698" i="39"/>
  <c r="K699" i="39"/>
  <c r="K700" i="39"/>
  <c r="K701" i="39"/>
  <c r="K702" i="39"/>
  <c r="K703" i="39"/>
  <c r="K704" i="39"/>
  <c r="K705" i="39"/>
  <c r="K706" i="39"/>
  <c r="K707" i="39"/>
  <c r="K708" i="39"/>
  <c r="K709" i="39"/>
  <c r="K710" i="39"/>
  <c r="K711" i="39"/>
  <c r="K712" i="39"/>
  <c r="K713" i="39"/>
  <c r="K714" i="39"/>
  <c r="K715" i="39"/>
  <c r="K716" i="39"/>
  <c r="K717" i="39"/>
  <c r="K718" i="39"/>
  <c r="K719" i="39"/>
  <c r="K720" i="39"/>
  <c r="K721" i="39"/>
  <c r="K722" i="39"/>
  <c r="K723" i="39"/>
  <c r="K724" i="39"/>
  <c r="K725" i="39"/>
  <c r="K726" i="39"/>
  <c r="K727" i="39"/>
  <c r="K728" i="39"/>
  <c r="K729" i="39"/>
  <c r="K730" i="39"/>
  <c r="K731" i="39"/>
  <c r="K732" i="39"/>
  <c r="K733" i="39"/>
  <c r="K734" i="39"/>
  <c r="K735" i="39"/>
  <c r="K736" i="39"/>
  <c r="K737" i="39"/>
  <c r="K738" i="39"/>
  <c r="K739" i="39"/>
  <c r="K740" i="39"/>
  <c r="K741" i="39"/>
  <c r="K742" i="39"/>
  <c r="K743" i="39"/>
  <c r="K744" i="39"/>
  <c r="K745" i="39"/>
  <c r="K746" i="39"/>
  <c r="K747" i="39"/>
  <c r="K748" i="39"/>
  <c r="K749" i="39"/>
  <c r="K750" i="39"/>
  <c r="K751" i="39"/>
  <c r="K752" i="39"/>
  <c r="K753" i="39"/>
  <c r="K754" i="39"/>
  <c r="K755" i="39"/>
  <c r="K756" i="39"/>
  <c r="K757" i="39"/>
  <c r="K508" i="39"/>
  <c r="K259" i="39"/>
  <c r="K260" i="39"/>
  <c r="K261" i="39"/>
  <c r="K262" i="39"/>
  <c r="K263" i="39"/>
  <c r="K264" i="39"/>
  <c r="K265" i="39"/>
  <c r="K266" i="39"/>
  <c r="K267" i="39"/>
  <c r="K268" i="39"/>
  <c r="K269" i="39"/>
  <c r="K270" i="39"/>
  <c r="K271" i="39"/>
  <c r="K272" i="39"/>
  <c r="K273" i="39"/>
  <c r="K274" i="39"/>
  <c r="K275" i="39"/>
  <c r="K276" i="39"/>
  <c r="K277" i="39"/>
  <c r="K278" i="39"/>
  <c r="K279" i="39"/>
  <c r="K280" i="39"/>
  <c r="K281" i="39"/>
  <c r="K282" i="39"/>
  <c r="K283" i="39"/>
  <c r="K284" i="39"/>
  <c r="K285" i="39"/>
  <c r="K286" i="39"/>
  <c r="K287" i="39"/>
  <c r="K288" i="39"/>
  <c r="K289" i="39"/>
  <c r="K290" i="39"/>
  <c r="K291" i="39"/>
  <c r="K292" i="39"/>
  <c r="K293" i="39"/>
  <c r="K294" i="39"/>
  <c r="K295" i="39"/>
  <c r="K296" i="39"/>
  <c r="K297" i="39"/>
  <c r="K298" i="39"/>
  <c r="K299" i="39"/>
  <c r="K300" i="39"/>
  <c r="K301" i="39"/>
  <c r="K302" i="39"/>
  <c r="K303" i="39"/>
  <c r="K304" i="39"/>
  <c r="K305" i="39"/>
  <c r="K306" i="39"/>
  <c r="K307" i="39"/>
  <c r="K308" i="39"/>
  <c r="K309" i="39"/>
  <c r="K310" i="39"/>
  <c r="K311" i="39"/>
  <c r="K312" i="39"/>
  <c r="K313" i="39"/>
  <c r="K314" i="39"/>
  <c r="K315" i="39"/>
  <c r="K316" i="39"/>
  <c r="K317" i="39"/>
  <c r="K318" i="39"/>
  <c r="K319" i="39"/>
  <c r="K320" i="39"/>
  <c r="K321" i="39"/>
  <c r="K322" i="39"/>
  <c r="K323" i="39"/>
  <c r="K324" i="39"/>
  <c r="K325" i="39"/>
  <c r="K326" i="39"/>
  <c r="K327" i="39"/>
  <c r="K328" i="39"/>
  <c r="K329" i="39"/>
  <c r="K330" i="39"/>
  <c r="K331" i="39"/>
  <c r="K332" i="39"/>
  <c r="K333" i="39"/>
  <c r="K334" i="39"/>
  <c r="K335" i="39"/>
  <c r="K336" i="39"/>
  <c r="K337" i="39"/>
  <c r="K338" i="39"/>
  <c r="K339" i="39"/>
  <c r="K340" i="39"/>
  <c r="K341" i="39"/>
  <c r="K342" i="39"/>
  <c r="K343" i="39"/>
  <c r="K344" i="39"/>
  <c r="K345" i="39"/>
  <c r="K346" i="39"/>
  <c r="K347" i="39"/>
  <c r="K348" i="39"/>
  <c r="K349" i="39"/>
  <c r="K350" i="39"/>
  <c r="K351" i="39"/>
  <c r="K352" i="39"/>
  <c r="K353" i="39"/>
  <c r="K354" i="39"/>
  <c r="K355" i="39"/>
  <c r="K356" i="39"/>
  <c r="K357" i="39"/>
  <c r="K358" i="39"/>
  <c r="K359" i="39"/>
  <c r="K360" i="39"/>
  <c r="K361" i="39"/>
  <c r="K362" i="39"/>
  <c r="K363" i="39"/>
  <c r="K364" i="39"/>
  <c r="K365" i="39"/>
  <c r="K366" i="39"/>
  <c r="K367" i="39"/>
  <c r="K368" i="39"/>
  <c r="K369" i="39"/>
  <c r="K370" i="39"/>
  <c r="K371" i="39"/>
  <c r="K372" i="39"/>
  <c r="K373" i="39"/>
  <c r="K374" i="39"/>
  <c r="K375" i="39"/>
  <c r="K376" i="39"/>
  <c r="K377" i="39"/>
  <c r="K378" i="39"/>
  <c r="K379" i="39"/>
  <c r="K380" i="39"/>
  <c r="K381" i="39"/>
  <c r="K382" i="39"/>
  <c r="K383" i="39"/>
  <c r="K384" i="39"/>
  <c r="K385" i="39"/>
  <c r="K386" i="39"/>
  <c r="K387" i="39"/>
  <c r="K388" i="39"/>
  <c r="K389" i="39"/>
  <c r="K390" i="39"/>
  <c r="K391" i="39"/>
  <c r="K392" i="39"/>
  <c r="K393" i="39"/>
  <c r="K394" i="39"/>
  <c r="K395" i="39"/>
  <c r="K396" i="39"/>
  <c r="K397" i="39"/>
  <c r="K398" i="39"/>
  <c r="K399" i="39"/>
  <c r="K400" i="39"/>
  <c r="K401" i="39"/>
  <c r="K402" i="39"/>
  <c r="K403" i="39"/>
  <c r="K404" i="39"/>
  <c r="K405" i="39"/>
  <c r="K406" i="39"/>
  <c r="K407" i="39"/>
  <c r="K408" i="39"/>
  <c r="K409" i="39"/>
  <c r="K410" i="39"/>
  <c r="K411" i="39"/>
  <c r="K412" i="39"/>
  <c r="K413" i="39"/>
  <c r="K414" i="39"/>
  <c r="K415" i="39"/>
  <c r="K416" i="39"/>
  <c r="K417" i="39"/>
  <c r="K418" i="39"/>
  <c r="K419" i="39"/>
  <c r="K420" i="39"/>
  <c r="K421" i="39"/>
  <c r="K422" i="39"/>
  <c r="K423" i="39"/>
  <c r="K424" i="39"/>
  <c r="K425" i="39"/>
  <c r="K426" i="39"/>
  <c r="K427" i="39"/>
  <c r="K428" i="39"/>
  <c r="K429" i="39"/>
  <c r="K430" i="39"/>
  <c r="K431" i="39"/>
  <c r="K432" i="39"/>
  <c r="K433" i="39"/>
  <c r="K434" i="39"/>
  <c r="K435" i="39"/>
  <c r="K436" i="39"/>
  <c r="K437" i="39"/>
  <c r="K438" i="39"/>
  <c r="K439" i="39"/>
  <c r="K440" i="39"/>
  <c r="K441" i="39"/>
  <c r="K442" i="39"/>
  <c r="K443" i="39"/>
  <c r="K444" i="39"/>
  <c r="K445" i="39"/>
  <c r="K446" i="39"/>
  <c r="K447" i="39"/>
  <c r="K448" i="39"/>
  <c r="K449" i="39"/>
  <c r="K450" i="39"/>
  <c r="K451" i="39"/>
  <c r="K452" i="39"/>
  <c r="K453" i="39"/>
  <c r="K454" i="39"/>
  <c r="K455" i="39"/>
  <c r="K456" i="39"/>
  <c r="K457" i="39"/>
  <c r="K458" i="39"/>
  <c r="K459" i="39"/>
  <c r="K460" i="39"/>
  <c r="K461" i="39"/>
  <c r="K462" i="39"/>
  <c r="K463" i="39"/>
  <c r="K464" i="39"/>
  <c r="K465" i="39"/>
  <c r="K466" i="39"/>
  <c r="K467" i="39"/>
  <c r="K468" i="39"/>
  <c r="K469" i="39"/>
  <c r="K470" i="39"/>
  <c r="K471" i="39"/>
  <c r="K472" i="39"/>
  <c r="K473" i="39"/>
  <c r="K474" i="39"/>
  <c r="K475" i="39"/>
  <c r="K476" i="39"/>
  <c r="K477" i="39"/>
  <c r="K478" i="39"/>
  <c r="K479" i="39"/>
  <c r="K480" i="39"/>
  <c r="K481" i="39"/>
  <c r="K482" i="39"/>
  <c r="K483" i="39"/>
  <c r="K484" i="39"/>
  <c r="K485" i="39"/>
  <c r="K486" i="39"/>
  <c r="K487" i="39"/>
  <c r="K488" i="39"/>
  <c r="K489" i="39"/>
  <c r="K490" i="39"/>
  <c r="K491" i="39"/>
  <c r="K492" i="39"/>
  <c r="K493" i="39"/>
  <c r="K494" i="39"/>
  <c r="K495" i="39"/>
  <c r="K496" i="39"/>
  <c r="K497" i="39"/>
  <c r="K498" i="39"/>
  <c r="K499" i="39"/>
  <c r="K500" i="39"/>
  <c r="K501" i="39"/>
  <c r="K502" i="39"/>
  <c r="K503" i="39"/>
  <c r="K504" i="39"/>
  <c r="K505" i="39"/>
  <c r="K506" i="39"/>
  <c r="K507" i="39"/>
  <c r="K258" i="39"/>
  <c r="K9" i="39"/>
  <c r="K10" i="39"/>
  <c r="K11" i="39"/>
  <c r="K12" i="39"/>
  <c r="K13" i="39"/>
  <c r="K14" i="39"/>
  <c r="K15" i="39"/>
  <c r="K16" i="39"/>
  <c r="K17" i="39"/>
  <c r="K18" i="39"/>
  <c r="K19" i="39"/>
  <c r="K20" i="39"/>
  <c r="K21" i="39"/>
  <c r="K22" i="39"/>
  <c r="K23" i="39"/>
  <c r="K24" i="39"/>
  <c r="K25" i="39"/>
  <c r="K26" i="39"/>
  <c r="K27" i="39"/>
  <c r="K28" i="39"/>
  <c r="K29" i="39"/>
  <c r="K30" i="39"/>
  <c r="K31" i="39"/>
  <c r="K32" i="39"/>
  <c r="K33" i="39"/>
  <c r="K34" i="39"/>
  <c r="K35" i="39"/>
  <c r="K36" i="39"/>
  <c r="K37" i="39"/>
  <c r="K38" i="39"/>
  <c r="K39" i="39"/>
  <c r="K40" i="39"/>
  <c r="K41" i="39"/>
  <c r="K42" i="39"/>
  <c r="K43" i="39"/>
  <c r="K44" i="39"/>
  <c r="K45" i="39"/>
  <c r="K46" i="39"/>
  <c r="K47" i="39"/>
  <c r="K48" i="39"/>
  <c r="K49" i="39"/>
  <c r="K50" i="39"/>
  <c r="K51" i="39"/>
  <c r="K52" i="39"/>
  <c r="K53" i="39"/>
  <c r="K54" i="39"/>
  <c r="K55" i="39"/>
  <c r="K56" i="39"/>
  <c r="K57" i="39"/>
  <c r="K58" i="39"/>
  <c r="K59" i="39"/>
  <c r="K60" i="39"/>
  <c r="K61" i="39"/>
  <c r="K62" i="39"/>
  <c r="K63" i="39"/>
  <c r="K64" i="39"/>
  <c r="K65" i="39"/>
  <c r="K66" i="39"/>
  <c r="K67" i="39"/>
  <c r="K68" i="39"/>
  <c r="K69" i="39"/>
  <c r="K70" i="39"/>
  <c r="K71" i="39"/>
  <c r="K72" i="39"/>
  <c r="K73" i="39"/>
  <c r="K74" i="39"/>
  <c r="K75" i="39"/>
  <c r="K76" i="39"/>
  <c r="K77" i="39"/>
  <c r="K78" i="39"/>
  <c r="K79" i="39"/>
  <c r="K80" i="39"/>
  <c r="K81" i="39"/>
  <c r="K82" i="39"/>
  <c r="K83" i="39"/>
  <c r="K84" i="39"/>
  <c r="K85" i="39"/>
  <c r="K86" i="39"/>
  <c r="K87" i="39"/>
  <c r="K88" i="39"/>
  <c r="K89" i="39"/>
  <c r="K90" i="39"/>
  <c r="K91" i="39"/>
  <c r="K92" i="39"/>
  <c r="K93" i="39"/>
  <c r="K94" i="39"/>
  <c r="K95" i="39"/>
  <c r="K96" i="39"/>
  <c r="K97" i="39"/>
  <c r="K98" i="39"/>
  <c r="K99" i="39"/>
  <c r="K100" i="39"/>
  <c r="K101" i="39"/>
  <c r="K102" i="39"/>
  <c r="K103" i="39"/>
  <c r="K104" i="39"/>
  <c r="K105" i="39"/>
  <c r="K106" i="39"/>
  <c r="K107" i="39"/>
  <c r="K108" i="39"/>
  <c r="K109" i="39"/>
  <c r="K110" i="39"/>
  <c r="K111" i="39"/>
  <c r="K112" i="39"/>
  <c r="K113" i="39"/>
  <c r="K114" i="39"/>
  <c r="K115" i="39"/>
  <c r="K116" i="39"/>
  <c r="K117" i="39"/>
  <c r="K118" i="39"/>
  <c r="K119" i="39"/>
  <c r="K120" i="39"/>
  <c r="K121" i="39"/>
  <c r="K122" i="39"/>
  <c r="K123" i="39"/>
  <c r="K124" i="39"/>
  <c r="K125" i="39"/>
  <c r="K126" i="39"/>
  <c r="K127" i="39"/>
  <c r="K128" i="39"/>
  <c r="K129" i="39"/>
  <c r="K130" i="39"/>
  <c r="K131" i="39"/>
  <c r="K132" i="39"/>
  <c r="K133" i="39"/>
  <c r="K134" i="39"/>
  <c r="K135" i="39"/>
  <c r="K136" i="39"/>
  <c r="K137" i="39"/>
  <c r="K138" i="39"/>
  <c r="K139" i="39"/>
  <c r="K140" i="39"/>
  <c r="K141" i="39"/>
  <c r="K142" i="39"/>
  <c r="K143" i="39"/>
  <c r="K144" i="39"/>
  <c r="K145" i="39"/>
  <c r="K146" i="39"/>
  <c r="K147" i="39"/>
  <c r="K148" i="39"/>
  <c r="K149" i="39"/>
  <c r="K150" i="39"/>
  <c r="K151" i="39"/>
  <c r="K152" i="39"/>
  <c r="K153" i="39"/>
  <c r="K154" i="39"/>
  <c r="K155" i="39"/>
  <c r="K156" i="39"/>
  <c r="K157" i="39"/>
  <c r="K158" i="39"/>
  <c r="K159" i="39"/>
  <c r="K160" i="39"/>
  <c r="K161" i="39"/>
  <c r="K162" i="39"/>
  <c r="K163" i="39"/>
  <c r="K164" i="39"/>
  <c r="K165" i="39"/>
  <c r="K166" i="39"/>
  <c r="K167" i="39"/>
  <c r="K168" i="39"/>
  <c r="K169" i="39"/>
  <c r="K170" i="39"/>
  <c r="K171" i="39"/>
  <c r="K172" i="39"/>
  <c r="K173" i="39"/>
  <c r="K174" i="39"/>
  <c r="K175" i="39"/>
  <c r="K176" i="39"/>
  <c r="K177" i="39"/>
  <c r="K178" i="39"/>
  <c r="K179" i="39"/>
  <c r="K180" i="39"/>
  <c r="K181" i="39"/>
  <c r="K182" i="39"/>
  <c r="K183" i="39"/>
  <c r="K184" i="39"/>
  <c r="K185" i="39"/>
  <c r="K186" i="39"/>
  <c r="K187" i="39"/>
  <c r="K188" i="39"/>
  <c r="K189" i="39"/>
  <c r="K190" i="39"/>
  <c r="K191" i="39"/>
  <c r="K192" i="39"/>
  <c r="K193" i="39"/>
  <c r="K194" i="39"/>
  <c r="K195" i="39"/>
  <c r="K196" i="39"/>
  <c r="K197" i="39"/>
  <c r="K198" i="39"/>
  <c r="K199" i="39"/>
  <c r="K200" i="39"/>
  <c r="K201" i="39"/>
  <c r="K202" i="39"/>
  <c r="K203" i="39"/>
  <c r="K204" i="39"/>
  <c r="K205" i="39"/>
  <c r="K206" i="39"/>
  <c r="K207" i="39"/>
  <c r="K208" i="39"/>
  <c r="K209" i="39"/>
  <c r="K210" i="39"/>
  <c r="K211" i="39"/>
  <c r="K212" i="39"/>
  <c r="K213" i="39"/>
  <c r="K214" i="39"/>
  <c r="K215" i="39"/>
  <c r="K216" i="39"/>
  <c r="K217" i="39"/>
  <c r="K218" i="39"/>
  <c r="K219" i="39"/>
  <c r="K220" i="39"/>
  <c r="K221" i="39"/>
  <c r="K222" i="39"/>
  <c r="K223" i="39"/>
  <c r="K224" i="39"/>
  <c r="K225" i="39"/>
  <c r="K226" i="39"/>
  <c r="K227" i="39"/>
  <c r="K228" i="39"/>
  <c r="K229" i="39"/>
  <c r="K230" i="39"/>
  <c r="K231" i="39"/>
  <c r="K232" i="39"/>
  <c r="K233" i="39"/>
  <c r="K234" i="39"/>
  <c r="K235" i="39"/>
  <c r="K236" i="39"/>
  <c r="K237" i="39"/>
  <c r="K238" i="39"/>
  <c r="K239" i="39"/>
  <c r="K240" i="39"/>
  <c r="K241" i="39"/>
  <c r="K242" i="39"/>
  <c r="K243" i="39"/>
  <c r="K244" i="39"/>
  <c r="K245" i="39"/>
  <c r="K246" i="39"/>
  <c r="K247" i="39"/>
  <c r="K248" i="39"/>
  <c r="K249" i="39"/>
  <c r="K250" i="39"/>
  <c r="K251" i="39"/>
  <c r="K252" i="39"/>
  <c r="K253" i="39"/>
  <c r="K254" i="39"/>
  <c r="K255" i="39"/>
  <c r="K256" i="39"/>
  <c r="K257" i="39"/>
  <c r="K8" i="39"/>
  <c r="H1259" i="39"/>
  <c r="H1260" i="39"/>
  <c r="H1261" i="39"/>
  <c r="H1262" i="39"/>
  <c r="H1263" i="39"/>
  <c r="H1264" i="39"/>
  <c r="H1265" i="39"/>
  <c r="H1266" i="39"/>
  <c r="H1267" i="39"/>
  <c r="H1268" i="39"/>
  <c r="H1269" i="39"/>
  <c r="H1270" i="39"/>
  <c r="H1271" i="39"/>
  <c r="H1272" i="39"/>
  <c r="H1273" i="39"/>
  <c r="H1274" i="39"/>
  <c r="H1275" i="39"/>
  <c r="H1276" i="39"/>
  <c r="H1277" i="39"/>
  <c r="H1278" i="39"/>
  <c r="H1279" i="39"/>
  <c r="H1280" i="39"/>
  <c r="H1281" i="39"/>
  <c r="H1282" i="39"/>
  <c r="H1283" i="39"/>
  <c r="H1284" i="39"/>
  <c r="H1285" i="39"/>
  <c r="H1286" i="39"/>
  <c r="H1287" i="39"/>
  <c r="H1288" i="39"/>
  <c r="H1289" i="39"/>
  <c r="H1290" i="39"/>
  <c r="H1291" i="39"/>
  <c r="H1292" i="39"/>
  <c r="H1293" i="39"/>
  <c r="H1294" i="39"/>
  <c r="H1295" i="39"/>
  <c r="H1296" i="39"/>
  <c r="H1297" i="39"/>
  <c r="H1298" i="39"/>
  <c r="H1299" i="39"/>
  <c r="H1300" i="39"/>
  <c r="H1301" i="39"/>
  <c r="H1302" i="39"/>
  <c r="H1303" i="39"/>
  <c r="H1304" i="39"/>
  <c r="H1305" i="39"/>
  <c r="H1306" i="39"/>
  <c r="H1307" i="39"/>
  <c r="H1308" i="39"/>
  <c r="H1309" i="39"/>
  <c r="H1310" i="39"/>
  <c r="H1311" i="39"/>
  <c r="H1312" i="39"/>
  <c r="H1313" i="39"/>
  <c r="H1314" i="39"/>
  <c r="H1315" i="39"/>
  <c r="H1316" i="39"/>
  <c r="H1317" i="39"/>
  <c r="H1318" i="39"/>
  <c r="H1319" i="39"/>
  <c r="H1320" i="39"/>
  <c r="H1321" i="39"/>
  <c r="H1322" i="39"/>
  <c r="H1323" i="39"/>
  <c r="H1324" i="39"/>
  <c r="H1325" i="39"/>
  <c r="H1326" i="39"/>
  <c r="H1327" i="39"/>
  <c r="H1328" i="39"/>
  <c r="H1329" i="39"/>
  <c r="H1330" i="39"/>
  <c r="H1331" i="39"/>
  <c r="H1332" i="39"/>
  <c r="H1333" i="39"/>
  <c r="H1334" i="39"/>
  <c r="H1335" i="39"/>
  <c r="H1336" i="39"/>
  <c r="H1337" i="39"/>
  <c r="H1338" i="39"/>
  <c r="H1339" i="39"/>
  <c r="H1340" i="39"/>
  <c r="H1341" i="39"/>
  <c r="H1342" i="39"/>
  <c r="H1343" i="39"/>
  <c r="H1344" i="39"/>
  <c r="H1345" i="39"/>
  <c r="H1346" i="39"/>
  <c r="H1347" i="39"/>
  <c r="H1348" i="39"/>
  <c r="H1349" i="39"/>
  <c r="H1350" i="39"/>
  <c r="H1351" i="39"/>
  <c r="H1352" i="39"/>
  <c r="H1353" i="39"/>
  <c r="H1354" i="39"/>
  <c r="H1355" i="39"/>
  <c r="H1356" i="39"/>
  <c r="H1357" i="39"/>
  <c r="H1358" i="39"/>
  <c r="H1359" i="39"/>
  <c r="H1360" i="39"/>
  <c r="H1361" i="39"/>
  <c r="H1362" i="39"/>
  <c r="H1363" i="39"/>
  <c r="H1364" i="39"/>
  <c r="H1365" i="39"/>
  <c r="H1366" i="39"/>
  <c r="H1367" i="39"/>
  <c r="H1368" i="39"/>
  <c r="H1369" i="39"/>
  <c r="H1370" i="39"/>
  <c r="H1371" i="39"/>
  <c r="H1372" i="39"/>
  <c r="H1373" i="39"/>
  <c r="H1374" i="39"/>
  <c r="H1375" i="39"/>
  <c r="H1376" i="39"/>
  <c r="H1377" i="39"/>
  <c r="H1378" i="39"/>
  <c r="H1379" i="39"/>
  <c r="H1380" i="39"/>
  <c r="H1381" i="39"/>
  <c r="H1382" i="39"/>
  <c r="H1383" i="39"/>
  <c r="H1384" i="39"/>
  <c r="H1385" i="39"/>
  <c r="H1386" i="39"/>
  <c r="H1387" i="39"/>
  <c r="H1388" i="39"/>
  <c r="H1389" i="39"/>
  <c r="H1390" i="39"/>
  <c r="H1391" i="39"/>
  <c r="H1392" i="39"/>
  <c r="H1393" i="39"/>
  <c r="H1394" i="39"/>
  <c r="H1395" i="39"/>
  <c r="H1396" i="39"/>
  <c r="H1397" i="39"/>
  <c r="H1398" i="39"/>
  <c r="H1399" i="39"/>
  <c r="H1400" i="39"/>
  <c r="H1401" i="39"/>
  <c r="H1402" i="39"/>
  <c r="H1403" i="39"/>
  <c r="H1404" i="39"/>
  <c r="H1405" i="39"/>
  <c r="H1406" i="39"/>
  <c r="H1407" i="39"/>
  <c r="H1408" i="39"/>
  <c r="H1409" i="39"/>
  <c r="H1410" i="39"/>
  <c r="H1411" i="39"/>
  <c r="H1412" i="39"/>
  <c r="H1413" i="39"/>
  <c r="H1414" i="39"/>
  <c r="H1415" i="39"/>
  <c r="H1416" i="39"/>
  <c r="H1417" i="39"/>
  <c r="H1418" i="39"/>
  <c r="H1419" i="39"/>
  <c r="H1420" i="39"/>
  <c r="H1421" i="39"/>
  <c r="H1422" i="39"/>
  <c r="H1423" i="39"/>
  <c r="H1424" i="39"/>
  <c r="H1425" i="39"/>
  <c r="H1426" i="39"/>
  <c r="H1427" i="39"/>
  <c r="H1428" i="39"/>
  <c r="H1429" i="39"/>
  <c r="H1430" i="39"/>
  <c r="H1431" i="39"/>
  <c r="H1432" i="39"/>
  <c r="H1433" i="39"/>
  <c r="H1434" i="39"/>
  <c r="H1435" i="39"/>
  <c r="H1436" i="39"/>
  <c r="H1437" i="39"/>
  <c r="H1438" i="39"/>
  <c r="H1439" i="39"/>
  <c r="H1440" i="39"/>
  <c r="H1441" i="39"/>
  <c r="H1442" i="39"/>
  <c r="H1443" i="39"/>
  <c r="H1444" i="39"/>
  <c r="H1445" i="39"/>
  <c r="H1446" i="39"/>
  <c r="H1447" i="39"/>
  <c r="H1448" i="39"/>
  <c r="H1449" i="39"/>
  <c r="H1450" i="39"/>
  <c r="H1451" i="39"/>
  <c r="H1452" i="39"/>
  <c r="H1453" i="39"/>
  <c r="H1454" i="39"/>
  <c r="H1455" i="39"/>
  <c r="H1456" i="39"/>
  <c r="H1457" i="39"/>
  <c r="H1458" i="39"/>
  <c r="H1459" i="39"/>
  <c r="H1460" i="39"/>
  <c r="H1461" i="39"/>
  <c r="H1462" i="39"/>
  <c r="H1463" i="39"/>
  <c r="H1464" i="39"/>
  <c r="H1465" i="39"/>
  <c r="H1466" i="39"/>
  <c r="H1467" i="39"/>
  <c r="H1468" i="39"/>
  <c r="H1469" i="39"/>
  <c r="H1470" i="39"/>
  <c r="H1471" i="39"/>
  <c r="H1472" i="39"/>
  <c r="H1473" i="39"/>
  <c r="H1474" i="39"/>
  <c r="H1475" i="39"/>
  <c r="H1476" i="39"/>
  <c r="H1477" i="39"/>
  <c r="H1478" i="39"/>
  <c r="H1479" i="39"/>
  <c r="H1480" i="39"/>
  <c r="H1481" i="39"/>
  <c r="H1482" i="39"/>
  <c r="H1483" i="39"/>
  <c r="H1484" i="39"/>
  <c r="H1485" i="39"/>
  <c r="H1486" i="39"/>
  <c r="H1487" i="39"/>
  <c r="H1488" i="39"/>
  <c r="H1489" i="39"/>
  <c r="H1490" i="39"/>
  <c r="H1491" i="39"/>
  <c r="H1492" i="39"/>
  <c r="H1493" i="39"/>
  <c r="H1494" i="39"/>
  <c r="H1495" i="39"/>
  <c r="H1496" i="39"/>
  <c r="H1497" i="39"/>
  <c r="H1498" i="39"/>
  <c r="H1499" i="39"/>
  <c r="H1500" i="39"/>
  <c r="H1501" i="39"/>
  <c r="H1502" i="39"/>
  <c r="H1503" i="39"/>
  <c r="H1504" i="39"/>
  <c r="H1505" i="39"/>
  <c r="H1506" i="39"/>
  <c r="H1507" i="39"/>
  <c r="H1258" i="39"/>
  <c r="H1009" i="39"/>
  <c r="H1010" i="39"/>
  <c r="H1011" i="39"/>
  <c r="H1012" i="39"/>
  <c r="H1013" i="39"/>
  <c r="H1014" i="39"/>
  <c r="H1015" i="39"/>
  <c r="H1016" i="39"/>
  <c r="H1017" i="39"/>
  <c r="H1018" i="39"/>
  <c r="H1019" i="39"/>
  <c r="H1020" i="39"/>
  <c r="H1021" i="39"/>
  <c r="H1022" i="39"/>
  <c r="H1023" i="39"/>
  <c r="H1024" i="39"/>
  <c r="H1025" i="39"/>
  <c r="H1026" i="39"/>
  <c r="H1027" i="39"/>
  <c r="H1028" i="39"/>
  <c r="H1029" i="39"/>
  <c r="H1030" i="39"/>
  <c r="H1031" i="39"/>
  <c r="H1032" i="39"/>
  <c r="H1033" i="39"/>
  <c r="H1034" i="39"/>
  <c r="H1035" i="39"/>
  <c r="H1036" i="39"/>
  <c r="H1037" i="39"/>
  <c r="H1038" i="39"/>
  <c r="H1039" i="39"/>
  <c r="H1040" i="39"/>
  <c r="H1041" i="39"/>
  <c r="H1042" i="39"/>
  <c r="H1043" i="39"/>
  <c r="H1044" i="39"/>
  <c r="H1045" i="39"/>
  <c r="H1046" i="39"/>
  <c r="H1047" i="39"/>
  <c r="H1048" i="39"/>
  <c r="H1049" i="39"/>
  <c r="H1050" i="39"/>
  <c r="H1051" i="39"/>
  <c r="H1052" i="39"/>
  <c r="H1053" i="39"/>
  <c r="H1054" i="39"/>
  <c r="H1055" i="39"/>
  <c r="H1056" i="39"/>
  <c r="H1057" i="39"/>
  <c r="H1058" i="39"/>
  <c r="H1059" i="39"/>
  <c r="H1060" i="39"/>
  <c r="H1061" i="39"/>
  <c r="H1062" i="39"/>
  <c r="H1063" i="39"/>
  <c r="H1064" i="39"/>
  <c r="H1065" i="39"/>
  <c r="H1066" i="39"/>
  <c r="H1067" i="39"/>
  <c r="H1068" i="39"/>
  <c r="H1069" i="39"/>
  <c r="H1070" i="39"/>
  <c r="H1071" i="39"/>
  <c r="H1072" i="39"/>
  <c r="H1073" i="39"/>
  <c r="H1074" i="39"/>
  <c r="H1075" i="39"/>
  <c r="H1076" i="39"/>
  <c r="H1077" i="39"/>
  <c r="H1078" i="39"/>
  <c r="H1079" i="39"/>
  <c r="H1080" i="39"/>
  <c r="H1081" i="39"/>
  <c r="H1082" i="39"/>
  <c r="H1083" i="39"/>
  <c r="H1084" i="39"/>
  <c r="H1085" i="39"/>
  <c r="H1086" i="39"/>
  <c r="H1087" i="39"/>
  <c r="H1088" i="39"/>
  <c r="H1089" i="39"/>
  <c r="H1090" i="39"/>
  <c r="H1091" i="39"/>
  <c r="H1092" i="39"/>
  <c r="H1093" i="39"/>
  <c r="H1094" i="39"/>
  <c r="H1095" i="39"/>
  <c r="H1096" i="39"/>
  <c r="H1097" i="39"/>
  <c r="H1098" i="39"/>
  <c r="H1099" i="39"/>
  <c r="H1100" i="39"/>
  <c r="H1101" i="39"/>
  <c r="H1102" i="39"/>
  <c r="H1103" i="39"/>
  <c r="H1104" i="39"/>
  <c r="H1105" i="39"/>
  <c r="H1106" i="39"/>
  <c r="H1107" i="39"/>
  <c r="H1108" i="39"/>
  <c r="H1109" i="39"/>
  <c r="H1110" i="39"/>
  <c r="H1111" i="39"/>
  <c r="H1112" i="39"/>
  <c r="H1113" i="39"/>
  <c r="H1114" i="39"/>
  <c r="H1115" i="39"/>
  <c r="H1116" i="39"/>
  <c r="H1117" i="39"/>
  <c r="H1118" i="39"/>
  <c r="H1119" i="39"/>
  <c r="H1120" i="39"/>
  <c r="H1121" i="39"/>
  <c r="H1122" i="39"/>
  <c r="H1123" i="39"/>
  <c r="H1124" i="39"/>
  <c r="H1125" i="39"/>
  <c r="H1126" i="39"/>
  <c r="H1127" i="39"/>
  <c r="H1128" i="39"/>
  <c r="H1129" i="39"/>
  <c r="H1130" i="39"/>
  <c r="H1131" i="39"/>
  <c r="H1132" i="39"/>
  <c r="H1133" i="39"/>
  <c r="H1134" i="39"/>
  <c r="H1135" i="39"/>
  <c r="H1136" i="39"/>
  <c r="H1137" i="39"/>
  <c r="H1138" i="39"/>
  <c r="H1139" i="39"/>
  <c r="H1140" i="39"/>
  <c r="H1141" i="39"/>
  <c r="H1142" i="39"/>
  <c r="H1143" i="39"/>
  <c r="H1144" i="39"/>
  <c r="H1145" i="39"/>
  <c r="H1146" i="39"/>
  <c r="H1147" i="39"/>
  <c r="H1148" i="39"/>
  <c r="H1149" i="39"/>
  <c r="H1150" i="39"/>
  <c r="H1151" i="39"/>
  <c r="H1152" i="39"/>
  <c r="H1153" i="39"/>
  <c r="H1154" i="39"/>
  <c r="H1155" i="39"/>
  <c r="H1156" i="39"/>
  <c r="H1157" i="39"/>
  <c r="H1158" i="39"/>
  <c r="H1159" i="39"/>
  <c r="H1160" i="39"/>
  <c r="H1161" i="39"/>
  <c r="H1162" i="39"/>
  <c r="H1163" i="39"/>
  <c r="H1164" i="39"/>
  <c r="H1165" i="39"/>
  <c r="H1166" i="39"/>
  <c r="H1167" i="39"/>
  <c r="H1168" i="39"/>
  <c r="H1169" i="39"/>
  <c r="H1170" i="39"/>
  <c r="H1171" i="39"/>
  <c r="H1172" i="39"/>
  <c r="H1173" i="39"/>
  <c r="H1174" i="39"/>
  <c r="H1175" i="39"/>
  <c r="H1176" i="39"/>
  <c r="H1177" i="39"/>
  <c r="H1178" i="39"/>
  <c r="H1179" i="39"/>
  <c r="H1180" i="39"/>
  <c r="H1181" i="39"/>
  <c r="H1182" i="39"/>
  <c r="H1183" i="39"/>
  <c r="H1184" i="39"/>
  <c r="H1185" i="39"/>
  <c r="H1186" i="39"/>
  <c r="H1187" i="39"/>
  <c r="H1188" i="39"/>
  <c r="H1189" i="39"/>
  <c r="H1190" i="39"/>
  <c r="H1191" i="39"/>
  <c r="H1192" i="39"/>
  <c r="H1193" i="39"/>
  <c r="H1194" i="39"/>
  <c r="H1195" i="39"/>
  <c r="H1196" i="39"/>
  <c r="H1197" i="39"/>
  <c r="H1198" i="39"/>
  <c r="H1199" i="39"/>
  <c r="H1200" i="39"/>
  <c r="H1201" i="39"/>
  <c r="H1202" i="39"/>
  <c r="H1203" i="39"/>
  <c r="H1204" i="39"/>
  <c r="H1205" i="39"/>
  <c r="H1206" i="39"/>
  <c r="H1207" i="39"/>
  <c r="H1208" i="39"/>
  <c r="H1209" i="39"/>
  <c r="H1210" i="39"/>
  <c r="H1211" i="39"/>
  <c r="H1212" i="39"/>
  <c r="H1213" i="39"/>
  <c r="H1214" i="39"/>
  <c r="H1215" i="39"/>
  <c r="H1216" i="39"/>
  <c r="H1217" i="39"/>
  <c r="H1218" i="39"/>
  <c r="H1219" i="39"/>
  <c r="H1220" i="39"/>
  <c r="H1221" i="39"/>
  <c r="H1222" i="39"/>
  <c r="H1223" i="39"/>
  <c r="H1224" i="39"/>
  <c r="H1225" i="39"/>
  <c r="H1226" i="39"/>
  <c r="H1227" i="39"/>
  <c r="H1228" i="39"/>
  <c r="H1229" i="39"/>
  <c r="H1230" i="39"/>
  <c r="H1231" i="39"/>
  <c r="H1232" i="39"/>
  <c r="H1233" i="39"/>
  <c r="H1234" i="39"/>
  <c r="H1235" i="39"/>
  <c r="H1236" i="39"/>
  <c r="H1237" i="39"/>
  <c r="H1238" i="39"/>
  <c r="H1239" i="39"/>
  <c r="H1240" i="39"/>
  <c r="H1241" i="39"/>
  <c r="H1242" i="39"/>
  <c r="H1243" i="39"/>
  <c r="H1244" i="39"/>
  <c r="H1245" i="39"/>
  <c r="H1246" i="39"/>
  <c r="H1247" i="39"/>
  <c r="H1248" i="39"/>
  <c r="H1249" i="39"/>
  <c r="H1250" i="39"/>
  <c r="H1251" i="39"/>
  <c r="H1252" i="39"/>
  <c r="H1253" i="39"/>
  <c r="H1254" i="39"/>
  <c r="H1255" i="39"/>
  <c r="H1256" i="39"/>
  <c r="H1257" i="39"/>
  <c r="H1008" i="39"/>
  <c r="H759" i="39"/>
  <c r="H760" i="39"/>
  <c r="H761" i="39"/>
  <c r="H762" i="39"/>
  <c r="H763" i="39"/>
  <c r="H764" i="39"/>
  <c r="H765" i="39"/>
  <c r="H766" i="39"/>
  <c r="H767" i="39"/>
  <c r="H768" i="39"/>
  <c r="H769" i="39"/>
  <c r="H770" i="39"/>
  <c r="H771" i="39"/>
  <c r="H772" i="39"/>
  <c r="H773" i="39"/>
  <c r="H774" i="39"/>
  <c r="H775" i="39"/>
  <c r="H776" i="39"/>
  <c r="H777" i="39"/>
  <c r="H778" i="39"/>
  <c r="H779" i="39"/>
  <c r="H780" i="39"/>
  <c r="H781" i="39"/>
  <c r="H782" i="39"/>
  <c r="H783" i="39"/>
  <c r="H784" i="39"/>
  <c r="H785" i="39"/>
  <c r="H786" i="39"/>
  <c r="H787" i="39"/>
  <c r="H788" i="39"/>
  <c r="H789" i="39"/>
  <c r="H790" i="39"/>
  <c r="H791" i="39"/>
  <c r="H792" i="39"/>
  <c r="H793" i="39"/>
  <c r="H794" i="39"/>
  <c r="H795" i="39"/>
  <c r="H796" i="39"/>
  <c r="H797" i="39"/>
  <c r="H798" i="39"/>
  <c r="H799" i="39"/>
  <c r="H800" i="39"/>
  <c r="H801" i="39"/>
  <c r="H802" i="39"/>
  <c r="H803" i="39"/>
  <c r="H804" i="39"/>
  <c r="H805" i="39"/>
  <c r="H806" i="39"/>
  <c r="H807" i="39"/>
  <c r="H808" i="39"/>
  <c r="H809" i="39"/>
  <c r="H810" i="39"/>
  <c r="H811" i="39"/>
  <c r="H812" i="39"/>
  <c r="H813" i="39"/>
  <c r="H814" i="39"/>
  <c r="H815" i="39"/>
  <c r="H816" i="39"/>
  <c r="H817" i="39"/>
  <c r="H818" i="39"/>
  <c r="H819" i="39"/>
  <c r="H820" i="39"/>
  <c r="H821" i="39"/>
  <c r="H822" i="39"/>
  <c r="H823" i="39"/>
  <c r="H824" i="39"/>
  <c r="H825" i="39"/>
  <c r="H826" i="39"/>
  <c r="H827" i="39"/>
  <c r="H828" i="39"/>
  <c r="H829" i="39"/>
  <c r="H830" i="39"/>
  <c r="H831" i="39"/>
  <c r="H832" i="39"/>
  <c r="H833" i="39"/>
  <c r="H834" i="39"/>
  <c r="H835" i="39"/>
  <c r="H836" i="39"/>
  <c r="H837" i="39"/>
  <c r="H838" i="39"/>
  <c r="H839" i="39"/>
  <c r="H840" i="39"/>
  <c r="H841" i="39"/>
  <c r="H842" i="39"/>
  <c r="H843" i="39"/>
  <c r="H844" i="39"/>
  <c r="H845" i="39"/>
  <c r="H846" i="39"/>
  <c r="H847" i="39"/>
  <c r="H848" i="39"/>
  <c r="H849" i="39"/>
  <c r="H850" i="39"/>
  <c r="H851" i="39"/>
  <c r="H852" i="39"/>
  <c r="H853" i="39"/>
  <c r="H854" i="39"/>
  <c r="H855" i="39"/>
  <c r="H856" i="39"/>
  <c r="H857" i="39"/>
  <c r="H858" i="39"/>
  <c r="H859" i="39"/>
  <c r="H860" i="39"/>
  <c r="H861" i="39"/>
  <c r="H862" i="39"/>
  <c r="H863" i="39"/>
  <c r="H864" i="39"/>
  <c r="H865" i="39"/>
  <c r="H866" i="39"/>
  <c r="H867" i="39"/>
  <c r="H868" i="39"/>
  <c r="H869" i="39"/>
  <c r="H870" i="39"/>
  <c r="H871" i="39"/>
  <c r="H872" i="39"/>
  <c r="H873" i="39"/>
  <c r="H874" i="39"/>
  <c r="H875" i="39"/>
  <c r="H876" i="39"/>
  <c r="H877" i="39"/>
  <c r="H878" i="39"/>
  <c r="H879" i="39"/>
  <c r="H880" i="39"/>
  <c r="H881" i="39"/>
  <c r="H882" i="39"/>
  <c r="H883" i="39"/>
  <c r="H884" i="39"/>
  <c r="H885" i="39"/>
  <c r="H886" i="39"/>
  <c r="H887" i="39"/>
  <c r="H888" i="39"/>
  <c r="H889" i="39"/>
  <c r="H890" i="39"/>
  <c r="H891" i="39"/>
  <c r="H892" i="39"/>
  <c r="H893" i="39"/>
  <c r="H894" i="39"/>
  <c r="H895" i="39"/>
  <c r="H896" i="39"/>
  <c r="H897" i="39"/>
  <c r="H898" i="39"/>
  <c r="H899" i="39"/>
  <c r="H900" i="39"/>
  <c r="H901" i="39"/>
  <c r="H902" i="39"/>
  <c r="H903" i="39"/>
  <c r="H904" i="39"/>
  <c r="H905" i="39"/>
  <c r="H906" i="39"/>
  <c r="H907" i="39"/>
  <c r="H908" i="39"/>
  <c r="H909" i="39"/>
  <c r="H910" i="39"/>
  <c r="H911" i="39"/>
  <c r="H912" i="39"/>
  <c r="H913" i="39"/>
  <c r="H914" i="39"/>
  <c r="H915" i="39"/>
  <c r="H916" i="39"/>
  <c r="H917" i="39"/>
  <c r="H918" i="39"/>
  <c r="H919" i="39"/>
  <c r="H920" i="39"/>
  <c r="H921" i="39"/>
  <c r="H922" i="39"/>
  <c r="H923" i="39"/>
  <c r="H924" i="39"/>
  <c r="H925" i="39"/>
  <c r="H926" i="39"/>
  <c r="H927" i="39"/>
  <c r="H928" i="39"/>
  <c r="H929" i="39"/>
  <c r="H930" i="39"/>
  <c r="H931" i="39"/>
  <c r="H932" i="39"/>
  <c r="H933" i="39"/>
  <c r="H934" i="39"/>
  <c r="H935" i="39"/>
  <c r="H936" i="39"/>
  <c r="H937" i="39"/>
  <c r="H938" i="39"/>
  <c r="H939" i="39"/>
  <c r="H940" i="39"/>
  <c r="H941" i="39"/>
  <c r="H942" i="39"/>
  <c r="H943" i="39"/>
  <c r="H944" i="39"/>
  <c r="H945" i="39"/>
  <c r="H946" i="39"/>
  <c r="H947" i="39"/>
  <c r="H948" i="39"/>
  <c r="H949" i="39"/>
  <c r="H950" i="39"/>
  <c r="H951" i="39"/>
  <c r="H952" i="39"/>
  <c r="H953" i="39"/>
  <c r="H954" i="39"/>
  <c r="H955" i="39"/>
  <c r="H956" i="39"/>
  <c r="H957" i="39"/>
  <c r="H958" i="39"/>
  <c r="H959" i="39"/>
  <c r="H960" i="39"/>
  <c r="H961" i="39"/>
  <c r="H962" i="39"/>
  <c r="H963" i="39"/>
  <c r="H964" i="39"/>
  <c r="H965" i="39"/>
  <c r="H966" i="39"/>
  <c r="H967" i="39"/>
  <c r="H968" i="39"/>
  <c r="H969" i="39"/>
  <c r="H970" i="39"/>
  <c r="H971" i="39"/>
  <c r="H972" i="39"/>
  <c r="H973" i="39"/>
  <c r="H974" i="39"/>
  <c r="H975" i="39"/>
  <c r="H976" i="39"/>
  <c r="H977" i="39"/>
  <c r="H978" i="39"/>
  <c r="H979" i="39"/>
  <c r="H980" i="39"/>
  <c r="H981" i="39"/>
  <c r="H982" i="39"/>
  <c r="H983" i="39"/>
  <c r="H984" i="39"/>
  <c r="H985" i="39"/>
  <c r="H986" i="39"/>
  <c r="H987" i="39"/>
  <c r="H988" i="39"/>
  <c r="H989" i="39"/>
  <c r="H990" i="39"/>
  <c r="H991" i="39"/>
  <c r="H992" i="39"/>
  <c r="H993" i="39"/>
  <c r="H994" i="39"/>
  <c r="H995" i="39"/>
  <c r="H996" i="39"/>
  <c r="H997" i="39"/>
  <c r="H998" i="39"/>
  <c r="H999" i="39"/>
  <c r="H1000" i="39"/>
  <c r="H1001" i="39"/>
  <c r="H1002" i="39"/>
  <c r="H1003" i="39"/>
  <c r="H1004" i="39"/>
  <c r="H1005" i="39"/>
  <c r="H1006" i="39"/>
  <c r="H1007" i="39"/>
  <c r="H758" i="39"/>
  <c r="H509" i="39"/>
  <c r="H510" i="39"/>
  <c r="H511" i="39"/>
  <c r="H512" i="39"/>
  <c r="H513" i="39"/>
  <c r="H514" i="39"/>
  <c r="H515" i="39"/>
  <c r="H516" i="39"/>
  <c r="H517" i="39"/>
  <c r="H518" i="39"/>
  <c r="H519" i="39"/>
  <c r="H520" i="39"/>
  <c r="H521" i="39"/>
  <c r="H522" i="39"/>
  <c r="H523" i="39"/>
  <c r="H524" i="39"/>
  <c r="H525" i="39"/>
  <c r="H526" i="39"/>
  <c r="H527" i="39"/>
  <c r="H528" i="39"/>
  <c r="H529" i="39"/>
  <c r="H530" i="39"/>
  <c r="H531" i="39"/>
  <c r="H532" i="39"/>
  <c r="H533" i="39"/>
  <c r="H534" i="39"/>
  <c r="H535" i="39"/>
  <c r="H536" i="39"/>
  <c r="H537" i="39"/>
  <c r="H538" i="39"/>
  <c r="H539" i="39"/>
  <c r="H540" i="39"/>
  <c r="H541" i="39"/>
  <c r="H542" i="39"/>
  <c r="H543" i="39"/>
  <c r="H544" i="39"/>
  <c r="H545" i="39"/>
  <c r="H546" i="39"/>
  <c r="H547" i="39"/>
  <c r="H548" i="39"/>
  <c r="H549" i="39"/>
  <c r="H550" i="39"/>
  <c r="H551" i="39"/>
  <c r="H552" i="39"/>
  <c r="H553" i="39"/>
  <c r="H554" i="39"/>
  <c r="H555" i="39"/>
  <c r="H556" i="39"/>
  <c r="H557" i="39"/>
  <c r="H558" i="39"/>
  <c r="H559" i="39"/>
  <c r="H560" i="39"/>
  <c r="H561" i="39"/>
  <c r="H562" i="39"/>
  <c r="H563" i="39"/>
  <c r="H564" i="39"/>
  <c r="H565" i="39"/>
  <c r="H566" i="39"/>
  <c r="H567" i="39"/>
  <c r="H568" i="39"/>
  <c r="H569" i="39"/>
  <c r="H570" i="39"/>
  <c r="H571" i="39"/>
  <c r="H572" i="39"/>
  <c r="H573" i="39"/>
  <c r="H574" i="39"/>
  <c r="H575" i="39"/>
  <c r="H576" i="39"/>
  <c r="H577" i="39"/>
  <c r="H578" i="39"/>
  <c r="H579" i="39"/>
  <c r="H580" i="39"/>
  <c r="H581" i="39"/>
  <c r="H582" i="39"/>
  <c r="H583" i="39"/>
  <c r="H584" i="39"/>
  <c r="H585" i="39"/>
  <c r="H586" i="39"/>
  <c r="H587" i="39"/>
  <c r="H588" i="39"/>
  <c r="H589" i="39"/>
  <c r="H590" i="39"/>
  <c r="H591" i="39"/>
  <c r="H592" i="39"/>
  <c r="H593" i="39"/>
  <c r="H594" i="39"/>
  <c r="H595" i="39"/>
  <c r="H596" i="39"/>
  <c r="H597" i="39"/>
  <c r="H598" i="39"/>
  <c r="H599" i="39"/>
  <c r="H600" i="39"/>
  <c r="H601" i="39"/>
  <c r="H602" i="39"/>
  <c r="H603" i="39"/>
  <c r="H604" i="39"/>
  <c r="H605" i="39"/>
  <c r="H606" i="39"/>
  <c r="H607" i="39"/>
  <c r="H608" i="39"/>
  <c r="H609" i="39"/>
  <c r="H610" i="39"/>
  <c r="H611" i="39"/>
  <c r="H612" i="39"/>
  <c r="H613" i="39"/>
  <c r="H614" i="39"/>
  <c r="H615" i="39"/>
  <c r="H616" i="39"/>
  <c r="H617" i="39"/>
  <c r="H618" i="39"/>
  <c r="H619" i="39"/>
  <c r="H620" i="39"/>
  <c r="H621" i="39"/>
  <c r="H622" i="39"/>
  <c r="H623" i="39"/>
  <c r="H624" i="39"/>
  <c r="H625" i="39"/>
  <c r="H626" i="39"/>
  <c r="H627" i="39"/>
  <c r="H628" i="39"/>
  <c r="H629" i="39"/>
  <c r="H630" i="39"/>
  <c r="H631" i="39"/>
  <c r="H632" i="39"/>
  <c r="H633" i="39"/>
  <c r="H634" i="39"/>
  <c r="H635" i="39"/>
  <c r="H636" i="39"/>
  <c r="H637" i="39"/>
  <c r="H638" i="39"/>
  <c r="H639" i="39"/>
  <c r="H640" i="39"/>
  <c r="H641" i="39"/>
  <c r="H642" i="39"/>
  <c r="H643" i="39"/>
  <c r="H644" i="39"/>
  <c r="H645" i="39"/>
  <c r="H646" i="39"/>
  <c r="H647" i="39"/>
  <c r="H648" i="39"/>
  <c r="H649" i="39"/>
  <c r="H650" i="39"/>
  <c r="H651" i="39"/>
  <c r="H652" i="39"/>
  <c r="H653" i="39"/>
  <c r="H654" i="39"/>
  <c r="H655" i="39"/>
  <c r="H656" i="39"/>
  <c r="H657" i="39"/>
  <c r="H658" i="39"/>
  <c r="H659" i="39"/>
  <c r="H660" i="39"/>
  <c r="H661" i="39"/>
  <c r="H662" i="39"/>
  <c r="H663" i="39"/>
  <c r="H664" i="39"/>
  <c r="H665" i="39"/>
  <c r="H666" i="39"/>
  <c r="H667" i="39"/>
  <c r="H668" i="39"/>
  <c r="H669" i="39"/>
  <c r="H670" i="39"/>
  <c r="H671" i="39"/>
  <c r="H672" i="39"/>
  <c r="H673" i="39"/>
  <c r="H674" i="39"/>
  <c r="H675" i="39"/>
  <c r="H676" i="39"/>
  <c r="H677" i="39"/>
  <c r="H678" i="39"/>
  <c r="H679" i="39"/>
  <c r="H680" i="39"/>
  <c r="H681" i="39"/>
  <c r="H682" i="39"/>
  <c r="H683" i="39"/>
  <c r="H684" i="39"/>
  <c r="H685" i="39"/>
  <c r="H686" i="39"/>
  <c r="H687" i="39"/>
  <c r="H688" i="39"/>
  <c r="H689" i="39"/>
  <c r="H690" i="39"/>
  <c r="H691" i="39"/>
  <c r="H692" i="39"/>
  <c r="H693" i="39"/>
  <c r="H694" i="39"/>
  <c r="H695" i="39"/>
  <c r="H696" i="39"/>
  <c r="H697" i="39"/>
  <c r="H698" i="39"/>
  <c r="H699" i="39"/>
  <c r="H700" i="39"/>
  <c r="H701" i="39"/>
  <c r="H702" i="39"/>
  <c r="H703" i="39"/>
  <c r="H704" i="39"/>
  <c r="H705" i="39"/>
  <c r="H706" i="39"/>
  <c r="H707" i="39"/>
  <c r="H708" i="39"/>
  <c r="H709" i="39"/>
  <c r="H710" i="39"/>
  <c r="H711" i="39"/>
  <c r="H712" i="39"/>
  <c r="H713" i="39"/>
  <c r="H714" i="39"/>
  <c r="H715" i="39"/>
  <c r="H716" i="39"/>
  <c r="H717" i="39"/>
  <c r="H718" i="39"/>
  <c r="H719" i="39"/>
  <c r="H720" i="39"/>
  <c r="H721" i="39"/>
  <c r="H722" i="39"/>
  <c r="H723" i="39"/>
  <c r="H724" i="39"/>
  <c r="H725" i="39"/>
  <c r="H726" i="39"/>
  <c r="H727" i="39"/>
  <c r="H728" i="39"/>
  <c r="H729" i="39"/>
  <c r="H730" i="39"/>
  <c r="H731" i="39"/>
  <c r="H732" i="39"/>
  <c r="H733" i="39"/>
  <c r="H734" i="39"/>
  <c r="H735" i="39"/>
  <c r="H736" i="39"/>
  <c r="H737" i="39"/>
  <c r="H738" i="39"/>
  <c r="H739" i="39"/>
  <c r="H740" i="39"/>
  <c r="H741" i="39"/>
  <c r="H742" i="39"/>
  <c r="H743" i="39"/>
  <c r="H744" i="39"/>
  <c r="H745" i="39"/>
  <c r="H746" i="39"/>
  <c r="H747" i="39"/>
  <c r="H748" i="39"/>
  <c r="H749" i="39"/>
  <c r="H750" i="39"/>
  <c r="H751" i="39"/>
  <c r="H752" i="39"/>
  <c r="H753" i="39"/>
  <c r="H754" i="39"/>
  <c r="H755" i="39"/>
  <c r="H756" i="39"/>
  <c r="H757" i="39"/>
  <c r="H508" i="39"/>
  <c r="H259" i="39"/>
  <c r="H260" i="39"/>
  <c r="H261" i="39"/>
  <c r="H262" i="39"/>
  <c r="H263" i="39"/>
  <c r="H264" i="39"/>
  <c r="H265" i="39"/>
  <c r="H266" i="39"/>
  <c r="H267" i="39"/>
  <c r="H268" i="39"/>
  <c r="H269" i="39"/>
  <c r="H270" i="39"/>
  <c r="H271" i="39"/>
  <c r="H272" i="39"/>
  <c r="H273" i="39"/>
  <c r="H274" i="39"/>
  <c r="H275" i="39"/>
  <c r="H276" i="39"/>
  <c r="H277" i="39"/>
  <c r="H278" i="39"/>
  <c r="H279" i="39"/>
  <c r="H280" i="39"/>
  <c r="H281" i="39"/>
  <c r="H282" i="39"/>
  <c r="H283" i="39"/>
  <c r="H284" i="39"/>
  <c r="H285" i="39"/>
  <c r="H286" i="39"/>
  <c r="H287" i="39"/>
  <c r="H288" i="39"/>
  <c r="H289" i="39"/>
  <c r="H290" i="39"/>
  <c r="H291" i="39"/>
  <c r="H292" i="39"/>
  <c r="H293" i="39"/>
  <c r="H294" i="39"/>
  <c r="H295" i="39"/>
  <c r="H296" i="39"/>
  <c r="H297" i="39"/>
  <c r="H298" i="39"/>
  <c r="H299" i="39"/>
  <c r="H300" i="39"/>
  <c r="H301" i="39"/>
  <c r="H302" i="39"/>
  <c r="H303" i="39"/>
  <c r="H304" i="39"/>
  <c r="H305" i="39"/>
  <c r="H306" i="39"/>
  <c r="H307" i="39"/>
  <c r="H308" i="39"/>
  <c r="H309" i="39"/>
  <c r="H310" i="39"/>
  <c r="H311" i="39"/>
  <c r="H312" i="39"/>
  <c r="H313" i="39"/>
  <c r="H314" i="39"/>
  <c r="H315" i="39"/>
  <c r="H316" i="39"/>
  <c r="H317" i="39"/>
  <c r="H318" i="39"/>
  <c r="H319" i="39"/>
  <c r="H320" i="39"/>
  <c r="H321" i="39"/>
  <c r="H322" i="39"/>
  <c r="H323" i="39"/>
  <c r="H324" i="39"/>
  <c r="H325" i="39"/>
  <c r="H326" i="39"/>
  <c r="H327" i="39"/>
  <c r="H328" i="39"/>
  <c r="H329" i="39"/>
  <c r="H330" i="39"/>
  <c r="H331" i="39"/>
  <c r="H332" i="39"/>
  <c r="H333" i="39"/>
  <c r="H334" i="39"/>
  <c r="H335" i="39"/>
  <c r="H336" i="39"/>
  <c r="H337" i="39"/>
  <c r="H338" i="39"/>
  <c r="H339" i="39"/>
  <c r="H340" i="39"/>
  <c r="H341" i="39"/>
  <c r="H342" i="39"/>
  <c r="H343" i="39"/>
  <c r="H344" i="39"/>
  <c r="H345" i="39"/>
  <c r="H346" i="39"/>
  <c r="H347" i="39"/>
  <c r="H348" i="39"/>
  <c r="H349" i="39"/>
  <c r="H350" i="39"/>
  <c r="H351" i="39"/>
  <c r="H352" i="39"/>
  <c r="H353" i="39"/>
  <c r="H354" i="39"/>
  <c r="H355" i="39"/>
  <c r="H356" i="39"/>
  <c r="H357" i="39"/>
  <c r="H358" i="39"/>
  <c r="H359" i="39"/>
  <c r="H360" i="39"/>
  <c r="H361" i="39"/>
  <c r="H362" i="39"/>
  <c r="H363" i="39"/>
  <c r="H364" i="39"/>
  <c r="H365" i="39"/>
  <c r="H366" i="39"/>
  <c r="H367" i="39"/>
  <c r="H368" i="39"/>
  <c r="H369" i="39"/>
  <c r="H370" i="39"/>
  <c r="H371" i="39"/>
  <c r="H372" i="39"/>
  <c r="H373" i="39"/>
  <c r="H374" i="39"/>
  <c r="H375" i="39"/>
  <c r="H376" i="39"/>
  <c r="H377" i="39"/>
  <c r="H378" i="39"/>
  <c r="H379" i="39"/>
  <c r="H380" i="39"/>
  <c r="H381" i="39"/>
  <c r="H382" i="39"/>
  <c r="H383" i="39"/>
  <c r="H384" i="39"/>
  <c r="H385" i="39"/>
  <c r="H386" i="39"/>
  <c r="H387" i="39"/>
  <c r="H388" i="39"/>
  <c r="H389" i="39"/>
  <c r="H390" i="39"/>
  <c r="H391" i="39"/>
  <c r="H392" i="39"/>
  <c r="H393" i="39"/>
  <c r="H394" i="39"/>
  <c r="H395" i="39"/>
  <c r="H396" i="39"/>
  <c r="H397" i="39"/>
  <c r="H398" i="39"/>
  <c r="H399" i="39"/>
  <c r="H400" i="39"/>
  <c r="H401" i="39"/>
  <c r="H402" i="39"/>
  <c r="H403" i="39"/>
  <c r="H404" i="39"/>
  <c r="H405" i="39"/>
  <c r="H406" i="39"/>
  <c r="H407" i="39"/>
  <c r="H408" i="39"/>
  <c r="H409" i="39"/>
  <c r="H410" i="39"/>
  <c r="H411" i="39"/>
  <c r="H412" i="39"/>
  <c r="H413" i="39"/>
  <c r="H414" i="39"/>
  <c r="H415" i="39"/>
  <c r="H416" i="39"/>
  <c r="H417" i="39"/>
  <c r="H418" i="39"/>
  <c r="H419" i="39"/>
  <c r="H420" i="39"/>
  <c r="H421" i="39"/>
  <c r="H422" i="39"/>
  <c r="H423" i="39"/>
  <c r="H424" i="39"/>
  <c r="H425" i="39"/>
  <c r="H426" i="39"/>
  <c r="H427" i="39"/>
  <c r="H428" i="39"/>
  <c r="H429" i="39"/>
  <c r="H430" i="39"/>
  <c r="H431" i="39"/>
  <c r="H432" i="39"/>
  <c r="H433" i="39"/>
  <c r="H434" i="39"/>
  <c r="H435" i="39"/>
  <c r="H436" i="39"/>
  <c r="H437" i="39"/>
  <c r="H438" i="39"/>
  <c r="H439" i="39"/>
  <c r="H440" i="39"/>
  <c r="H441" i="39"/>
  <c r="H442" i="39"/>
  <c r="H443" i="39"/>
  <c r="H444" i="39"/>
  <c r="H445" i="39"/>
  <c r="H446" i="39"/>
  <c r="H447" i="39"/>
  <c r="H448" i="39"/>
  <c r="H449" i="39"/>
  <c r="H450" i="39"/>
  <c r="H451" i="39"/>
  <c r="H452" i="39"/>
  <c r="H453" i="39"/>
  <c r="H454" i="39"/>
  <c r="H455" i="39"/>
  <c r="H456" i="39"/>
  <c r="H457" i="39"/>
  <c r="H458" i="39"/>
  <c r="H459" i="39"/>
  <c r="H460" i="39"/>
  <c r="H461" i="39"/>
  <c r="H462" i="39"/>
  <c r="H463" i="39"/>
  <c r="H464" i="39"/>
  <c r="H465" i="39"/>
  <c r="H466" i="39"/>
  <c r="H467" i="39"/>
  <c r="H468" i="39"/>
  <c r="H469" i="39"/>
  <c r="H470" i="39"/>
  <c r="H471" i="39"/>
  <c r="H472" i="39"/>
  <c r="H473" i="39"/>
  <c r="H474" i="39"/>
  <c r="H475" i="39"/>
  <c r="H476" i="39"/>
  <c r="H477" i="39"/>
  <c r="H478" i="39"/>
  <c r="H479" i="39"/>
  <c r="H480" i="39"/>
  <c r="H481" i="39"/>
  <c r="H482" i="39"/>
  <c r="H483" i="39"/>
  <c r="H484" i="39"/>
  <c r="H485" i="39"/>
  <c r="H486" i="39"/>
  <c r="H487" i="39"/>
  <c r="H488" i="39"/>
  <c r="H489" i="39"/>
  <c r="H490" i="39"/>
  <c r="H491" i="39"/>
  <c r="H492" i="39"/>
  <c r="H493" i="39"/>
  <c r="H494" i="39"/>
  <c r="H495" i="39"/>
  <c r="H496" i="39"/>
  <c r="H497" i="39"/>
  <c r="H498" i="39"/>
  <c r="H499" i="39"/>
  <c r="H500" i="39"/>
  <c r="H501" i="39"/>
  <c r="H502" i="39"/>
  <c r="H503" i="39"/>
  <c r="H504" i="39"/>
  <c r="H505" i="39"/>
  <c r="H506" i="39"/>
  <c r="H507" i="39"/>
  <c r="H25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H45" i="39"/>
  <c r="H46" i="39"/>
  <c r="H47" i="39"/>
  <c r="H48" i="39"/>
  <c r="H49" i="39"/>
  <c r="H50" i="39"/>
  <c r="H51" i="39"/>
  <c r="H52" i="39"/>
  <c r="H53" i="39"/>
  <c r="H54" i="39"/>
  <c r="H55" i="39"/>
  <c r="H56" i="39"/>
  <c r="H57" i="39"/>
  <c r="H58" i="39"/>
  <c r="H59" i="39"/>
  <c r="H60" i="39"/>
  <c r="H61" i="39"/>
  <c r="H62" i="39"/>
  <c r="H63" i="39"/>
  <c r="H64" i="39"/>
  <c r="H65" i="39"/>
  <c r="H66" i="39"/>
  <c r="H67" i="39"/>
  <c r="H68" i="39"/>
  <c r="H69" i="39"/>
  <c r="H70" i="39"/>
  <c r="H71" i="39"/>
  <c r="H72" i="39"/>
  <c r="H73" i="39"/>
  <c r="H74" i="39"/>
  <c r="H75" i="39"/>
  <c r="H76" i="39"/>
  <c r="H77" i="39"/>
  <c r="H78" i="39"/>
  <c r="H79" i="39"/>
  <c r="H80" i="39"/>
  <c r="H81" i="39"/>
  <c r="H82" i="39"/>
  <c r="H83" i="39"/>
  <c r="H84" i="39"/>
  <c r="H85" i="39"/>
  <c r="H86" i="39"/>
  <c r="H87" i="39"/>
  <c r="H88" i="39"/>
  <c r="H89" i="39"/>
  <c r="H90" i="39"/>
  <c r="H91" i="39"/>
  <c r="H92" i="39"/>
  <c r="H93" i="39"/>
  <c r="H94" i="39"/>
  <c r="H95" i="39"/>
  <c r="H96" i="39"/>
  <c r="H97" i="39"/>
  <c r="H98" i="39"/>
  <c r="H99" i="39"/>
  <c r="H100" i="39"/>
  <c r="H101" i="39"/>
  <c r="H102" i="39"/>
  <c r="H103" i="39"/>
  <c r="H104" i="39"/>
  <c r="H105" i="39"/>
  <c r="H106" i="39"/>
  <c r="H107" i="39"/>
  <c r="H108" i="39"/>
  <c r="H109" i="39"/>
  <c r="H110" i="39"/>
  <c r="H111" i="39"/>
  <c r="H112" i="39"/>
  <c r="H113" i="39"/>
  <c r="H114" i="39"/>
  <c r="H115" i="39"/>
  <c r="H116" i="39"/>
  <c r="H117" i="39"/>
  <c r="H118" i="39"/>
  <c r="H119" i="39"/>
  <c r="H120" i="39"/>
  <c r="H121" i="39"/>
  <c r="H122" i="39"/>
  <c r="H123" i="39"/>
  <c r="H124" i="39"/>
  <c r="H125" i="39"/>
  <c r="H126" i="39"/>
  <c r="H127" i="39"/>
  <c r="H128" i="39"/>
  <c r="H129" i="39"/>
  <c r="H130" i="39"/>
  <c r="H131" i="39"/>
  <c r="H132" i="39"/>
  <c r="H133" i="39"/>
  <c r="H134" i="39"/>
  <c r="H135" i="39"/>
  <c r="H136" i="39"/>
  <c r="H137" i="39"/>
  <c r="H138" i="39"/>
  <c r="H139" i="39"/>
  <c r="H140" i="39"/>
  <c r="H141" i="39"/>
  <c r="H142" i="39"/>
  <c r="H143" i="39"/>
  <c r="H144" i="39"/>
  <c r="H145" i="39"/>
  <c r="H146" i="39"/>
  <c r="H147" i="39"/>
  <c r="H148" i="39"/>
  <c r="H149" i="39"/>
  <c r="H150" i="39"/>
  <c r="H151" i="39"/>
  <c r="H152" i="39"/>
  <c r="H153" i="39"/>
  <c r="H154" i="39"/>
  <c r="H155" i="39"/>
  <c r="H156" i="39"/>
  <c r="H157" i="39"/>
  <c r="H158" i="39"/>
  <c r="H159" i="39"/>
  <c r="H160" i="39"/>
  <c r="H161" i="39"/>
  <c r="H162" i="39"/>
  <c r="H163" i="39"/>
  <c r="H164" i="39"/>
  <c r="H165" i="39"/>
  <c r="H166" i="39"/>
  <c r="H167" i="39"/>
  <c r="H168" i="39"/>
  <c r="H169" i="39"/>
  <c r="H170" i="39"/>
  <c r="H171" i="39"/>
  <c r="H172" i="39"/>
  <c r="H173" i="39"/>
  <c r="H174" i="39"/>
  <c r="H175" i="39"/>
  <c r="H176" i="39"/>
  <c r="H177" i="39"/>
  <c r="H178" i="39"/>
  <c r="H179" i="39"/>
  <c r="H180" i="39"/>
  <c r="H181" i="39"/>
  <c r="H182" i="39"/>
  <c r="H183" i="39"/>
  <c r="H184" i="39"/>
  <c r="H185" i="39"/>
  <c r="H186" i="39"/>
  <c r="H187" i="39"/>
  <c r="H188" i="39"/>
  <c r="H189" i="39"/>
  <c r="H190" i="39"/>
  <c r="H191" i="39"/>
  <c r="H192" i="39"/>
  <c r="H193" i="39"/>
  <c r="H194" i="39"/>
  <c r="H195" i="39"/>
  <c r="H196" i="39"/>
  <c r="H197" i="39"/>
  <c r="H198" i="39"/>
  <c r="H199" i="39"/>
  <c r="H200" i="39"/>
  <c r="H201" i="39"/>
  <c r="H202" i="39"/>
  <c r="H203" i="39"/>
  <c r="H204" i="39"/>
  <c r="H205" i="39"/>
  <c r="H206" i="39"/>
  <c r="H207" i="39"/>
  <c r="H208" i="39"/>
  <c r="H209" i="39"/>
  <c r="H210" i="39"/>
  <c r="H211" i="39"/>
  <c r="H212" i="39"/>
  <c r="H213" i="39"/>
  <c r="H214" i="39"/>
  <c r="H215" i="39"/>
  <c r="H216" i="39"/>
  <c r="H217" i="39"/>
  <c r="H218" i="39"/>
  <c r="H219" i="39"/>
  <c r="H220" i="39"/>
  <c r="H221" i="39"/>
  <c r="H222" i="39"/>
  <c r="H223" i="39"/>
  <c r="H224" i="39"/>
  <c r="H225" i="39"/>
  <c r="H226" i="39"/>
  <c r="H227" i="39"/>
  <c r="H228" i="39"/>
  <c r="H229" i="39"/>
  <c r="H230" i="39"/>
  <c r="H231" i="39"/>
  <c r="H232" i="39"/>
  <c r="H233" i="39"/>
  <c r="H234" i="39"/>
  <c r="H235" i="39"/>
  <c r="H236" i="39"/>
  <c r="H237" i="39"/>
  <c r="H238" i="39"/>
  <c r="H239" i="39"/>
  <c r="H240" i="39"/>
  <c r="H241" i="39"/>
  <c r="H242" i="39"/>
  <c r="H243" i="39"/>
  <c r="H244" i="39"/>
  <c r="H245" i="39"/>
  <c r="H246" i="39"/>
  <c r="H247" i="39"/>
  <c r="H248" i="39"/>
  <c r="H249" i="39"/>
  <c r="H250" i="39"/>
  <c r="H251" i="39"/>
  <c r="H252" i="39"/>
  <c r="H253" i="39"/>
  <c r="H254" i="39"/>
  <c r="H255" i="39"/>
  <c r="H256" i="39"/>
  <c r="H257" i="39"/>
  <c r="H8" i="39"/>
  <c r="A85" i="39" l="1"/>
  <c r="A84" i="39"/>
  <c r="A83" i="39"/>
  <c r="A82" i="39"/>
  <c r="A81" i="39"/>
  <c r="A80" i="39"/>
  <c r="A77" i="39"/>
  <c r="A76" i="39"/>
  <c r="A75" i="39"/>
  <c r="A74" i="39"/>
  <c r="A73" i="39"/>
  <c r="A72" i="39"/>
  <c r="A71" i="39"/>
  <c r="A70" i="39"/>
  <c r="A69" i="39"/>
  <c r="A68" i="39"/>
  <c r="A67" i="39"/>
  <c r="A66" i="39"/>
  <c r="A65" i="39"/>
  <c r="A63" i="39"/>
  <c r="A62" i="39"/>
  <c r="D130" i="39" l="1"/>
  <c r="D128" i="39"/>
  <c r="D127" i="39"/>
  <c r="D125" i="39"/>
  <c r="D123" i="39"/>
  <c r="A59" i="39" l="1"/>
  <c r="A58" i="39"/>
  <c r="A57" i="39"/>
  <c r="A56" i="39"/>
  <c r="A55" i="39"/>
  <c r="A53" i="39"/>
  <c r="A52" i="39"/>
  <c r="A50" i="39"/>
  <c r="A49" i="39"/>
  <c r="A47" i="39"/>
  <c r="A46" i="39"/>
  <c r="A45" i="39"/>
  <c r="A44" i="39"/>
  <c r="A43" i="39"/>
  <c r="A40" i="39"/>
  <c r="A39" i="39"/>
  <c r="A36" i="39"/>
  <c r="A35" i="39"/>
  <c r="A34" i="39"/>
  <c r="A41" i="39"/>
  <c r="A37" i="39"/>
  <c r="A42" i="39"/>
  <c r="A38" i="39"/>
  <c r="J1511" i="39" l="1"/>
  <c r="J1516" i="39"/>
  <c r="J1515" i="39"/>
  <c r="J1513" i="39"/>
  <c r="J1514" i="39"/>
  <c r="G1516" i="39" l="1"/>
  <c r="G1513" i="39"/>
  <c r="G1514" i="39"/>
  <c r="D113" i="39" l="1"/>
  <c r="D112" i="39"/>
  <c r="D109" i="39"/>
  <c r="P19" i="39"/>
  <c r="P23" i="39"/>
  <c r="P21" i="39"/>
  <c r="P18" i="39"/>
  <c r="P13" i="39"/>
  <c r="M6" i="39"/>
  <c r="M15" i="39"/>
  <c r="M14" i="39"/>
  <c r="M13" i="39"/>
  <c r="M11" i="39" l="1"/>
  <c r="M8" i="39"/>
  <c r="M5" i="39" l="1"/>
  <c r="E22" i="3" l="1"/>
  <c r="E21" i="3"/>
  <c r="G1257" i="39" l="1"/>
  <c r="G1256" i="39"/>
  <c r="G1255" i="39"/>
  <c r="G1254" i="39"/>
  <c r="G1253" i="39"/>
  <c r="G1252" i="39"/>
  <c r="G1251" i="39"/>
  <c r="G1250" i="39"/>
  <c r="G1249" i="39"/>
  <c r="G1248" i="39"/>
  <c r="G1247" i="39"/>
  <c r="G1246" i="39"/>
  <c r="G1245" i="39"/>
  <c r="G1244" i="39"/>
  <c r="G1238" i="39"/>
  <c r="G1237" i="39"/>
  <c r="G1224" i="39"/>
  <c r="G1243" i="39"/>
  <c r="G1242" i="39"/>
  <c r="G1241" i="39"/>
  <c r="G1240" i="39"/>
  <c r="G1239" i="39"/>
  <c r="G1236" i="39"/>
  <c r="G1235" i="39"/>
  <c r="G1234" i="39"/>
  <c r="G1233" i="39"/>
  <c r="G1232" i="39"/>
  <c r="G1231" i="39"/>
  <c r="G1230" i="39"/>
  <c r="G1229" i="39"/>
  <c r="G1228" i="39"/>
  <c r="G1227" i="39"/>
  <c r="G1226" i="39"/>
  <c r="G1225" i="39"/>
  <c r="G1223" i="39"/>
  <c r="G1222" i="39"/>
  <c r="G1221" i="39"/>
  <c r="G1220" i="39"/>
  <c r="G1219" i="39"/>
  <c r="G1218" i="39"/>
  <c r="G1217" i="39"/>
  <c r="G1216" i="39"/>
  <c r="G1215" i="39"/>
  <c r="G1214" i="39"/>
  <c r="G1213" i="39"/>
  <c r="G1212" i="39"/>
  <c r="G1211" i="39"/>
  <c r="G1210" i="39"/>
  <c r="G1209" i="39"/>
  <c r="G1208" i="39"/>
  <c r="G1207" i="39"/>
  <c r="G1206" i="39"/>
  <c r="G1205" i="39"/>
  <c r="G1204" i="39"/>
  <c r="G1203" i="39"/>
  <c r="G1202" i="39"/>
  <c r="G1201" i="39"/>
  <c r="G1200" i="39"/>
  <c r="G1199" i="39"/>
  <c r="G1198" i="39"/>
  <c r="G1197" i="39"/>
  <c r="G1196" i="39"/>
  <c r="G1195" i="39"/>
  <c r="G1194" i="39"/>
  <c r="G1193" i="39"/>
  <c r="G1192" i="39"/>
  <c r="G1191" i="39"/>
  <c r="G1190" i="39"/>
  <c r="G1189" i="39"/>
  <c r="G1188" i="39"/>
  <c r="G1187" i="39"/>
  <c r="G1186" i="39"/>
  <c r="G1185" i="39"/>
  <c r="G1184" i="39"/>
  <c r="G1183" i="39"/>
  <c r="G1182" i="39"/>
  <c r="G1181" i="39"/>
  <c r="G1180" i="39"/>
  <c r="G1179" i="39"/>
  <c r="G1175" i="39"/>
  <c r="G1174" i="39"/>
  <c r="G1173" i="39"/>
  <c r="G1172" i="39"/>
  <c r="G1171" i="39"/>
  <c r="G1170" i="39"/>
  <c r="G1178" i="39"/>
  <c r="G1177" i="39"/>
  <c r="G1176" i="39"/>
  <c r="G1169" i="39"/>
  <c r="G1168" i="39"/>
  <c r="G1167" i="39"/>
  <c r="G1166" i="39"/>
  <c r="G1165" i="39"/>
  <c r="G1164" i="39"/>
  <c r="G1163" i="39"/>
  <c r="G1162" i="39"/>
  <c r="G1161" i="39"/>
  <c r="G1160" i="39"/>
  <c r="G1159" i="39"/>
  <c r="G1158" i="39"/>
  <c r="G1157" i="39"/>
  <c r="G1156" i="39"/>
  <c r="G1155" i="39"/>
  <c r="G1154" i="39"/>
  <c r="G1153" i="39"/>
  <c r="G1152" i="39"/>
  <c r="G1151" i="39"/>
  <c r="G1150" i="39"/>
  <c r="G1149" i="39"/>
  <c r="G1148" i="39"/>
  <c r="G1147" i="39"/>
  <c r="G1146" i="39"/>
  <c r="G1145" i="39"/>
  <c r="G1144" i="39"/>
  <c r="G1143" i="39"/>
  <c r="G1123" i="39"/>
  <c r="G1142" i="39"/>
  <c r="G1141" i="39"/>
  <c r="G1140" i="39"/>
  <c r="G1139" i="39"/>
  <c r="G1138" i="39"/>
  <c r="G1137" i="39"/>
  <c r="G1136" i="39"/>
  <c r="G1135" i="39"/>
  <c r="G1134" i="39"/>
  <c r="G1133" i="39"/>
  <c r="G1132" i="39"/>
  <c r="G1131" i="39"/>
  <c r="G1130" i="39"/>
  <c r="G1129" i="39"/>
  <c r="G1128" i="39"/>
  <c r="G1127" i="39"/>
  <c r="G1126" i="39"/>
  <c r="G1125" i="39"/>
  <c r="G1124" i="39"/>
  <c r="G1122" i="39"/>
  <c r="G1121" i="39"/>
  <c r="G1120" i="39"/>
  <c r="G1119" i="39"/>
  <c r="G1118" i="39"/>
  <c r="G1117" i="39"/>
  <c r="G1116" i="39"/>
  <c r="G1115" i="39"/>
  <c r="G1114" i="39"/>
  <c r="G1113" i="39"/>
  <c r="G1112" i="39"/>
  <c r="G1111" i="39"/>
  <c r="G1110" i="39"/>
  <c r="G1103" i="39"/>
  <c r="G1102" i="39"/>
  <c r="G1101" i="39"/>
  <c r="G1092" i="39"/>
  <c r="G1077" i="39"/>
  <c r="G1109" i="39"/>
  <c r="G1108" i="39"/>
  <c r="G1107" i="39"/>
  <c r="G1106" i="39"/>
  <c r="G1105" i="39"/>
  <c r="G1104" i="39"/>
  <c r="G1100" i="39"/>
  <c r="G1099" i="39"/>
  <c r="G1098" i="39"/>
  <c r="G1097" i="39"/>
  <c r="G1096" i="39"/>
  <c r="G1095" i="39"/>
  <c r="G1094" i="39"/>
  <c r="G1093" i="39"/>
  <c r="G1091" i="39"/>
  <c r="G1090" i="39"/>
  <c r="G1089" i="39"/>
  <c r="G1088" i="39"/>
  <c r="G1087" i="39"/>
  <c r="G1086" i="39"/>
  <c r="G1085" i="39"/>
  <c r="G1084" i="39"/>
  <c r="G1083" i="39"/>
  <c r="G1082" i="39"/>
  <c r="G1081" i="39"/>
  <c r="G1080" i="39"/>
  <c r="G1079" i="39"/>
  <c r="G1078" i="39"/>
  <c r="G1076" i="39"/>
  <c r="G1075" i="39"/>
  <c r="G1074" i="39"/>
  <c r="G1073" i="39"/>
  <c r="G1072" i="39"/>
  <c r="G1071" i="39"/>
  <c r="G1070" i="39"/>
  <c r="G1069" i="39"/>
  <c r="G1068" i="39"/>
  <c r="G1067" i="39"/>
  <c r="G1066" i="39"/>
  <c r="G1065" i="39"/>
  <c r="G1064" i="39"/>
  <c r="G1063" i="39"/>
  <c r="G1062" i="39"/>
  <c r="G1061" i="39"/>
  <c r="G1060" i="39"/>
  <c r="G1059" i="39"/>
  <c r="G1058" i="39"/>
  <c r="G1057" i="39"/>
  <c r="G1056" i="39"/>
  <c r="G1055" i="39"/>
  <c r="G1054" i="39"/>
  <c r="G1053" i="39"/>
  <c r="G1052" i="39"/>
  <c r="G1051" i="39"/>
  <c r="G1050" i="39"/>
  <c r="G1049" i="39"/>
  <c r="G1048" i="39"/>
  <c r="G1047" i="39"/>
  <c r="G1046" i="39"/>
  <c r="G1045" i="39"/>
  <c r="G1044" i="39"/>
  <c r="G1043" i="39"/>
  <c r="G1042" i="39"/>
  <c r="G1041" i="39"/>
  <c r="G1040" i="39"/>
  <c r="G1039" i="39"/>
  <c r="G1038" i="39"/>
  <c r="G1037" i="39"/>
  <c r="G1034" i="39"/>
  <c r="G1024" i="39"/>
  <c r="G1013" i="39"/>
  <c r="G1036" i="39"/>
  <c r="G1035" i="39"/>
  <c r="G1033" i="39"/>
  <c r="G1032" i="39"/>
  <c r="G1031" i="39"/>
  <c r="G1030" i="39"/>
  <c r="G1029" i="39"/>
  <c r="G1028" i="39"/>
  <c r="G1027" i="39"/>
  <c r="G1026" i="39"/>
  <c r="G1025" i="39"/>
  <c r="G1023" i="39"/>
  <c r="G1022" i="39"/>
  <c r="G1021" i="39"/>
  <c r="G1020" i="39"/>
  <c r="G1019" i="39"/>
  <c r="G1018" i="39"/>
  <c r="G1017" i="39"/>
  <c r="G1016" i="39"/>
  <c r="G1015" i="39"/>
  <c r="G1014" i="39"/>
  <c r="G1012" i="39"/>
  <c r="G1011" i="39"/>
  <c r="G1010" i="39"/>
  <c r="G1009" i="39"/>
  <c r="G1008" i="39"/>
  <c r="G1007" i="39"/>
  <c r="G1006" i="39"/>
  <c r="G1005" i="39"/>
  <c r="G1004" i="39"/>
  <c r="G1003" i="39"/>
  <c r="G1002" i="39"/>
  <c r="G1001" i="39"/>
  <c r="G1000" i="39"/>
  <c r="G999" i="39"/>
  <c r="G998" i="39"/>
  <c r="G997" i="39"/>
  <c r="G996" i="39"/>
  <c r="G995" i="39"/>
  <c r="G994" i="39"/>
  <c r="G993" i="39"/>
  <c r="G992" i="39"/>
  <c r="G991" i="39"/>
  <c r="G990" i="39"/>
  <c r="G989" i="39"/>
  <c r="G988" i="39"/>
  <c r="G972" i="39"/>
  <c r="G987" i="39"/>
  <c r="G986" i="39"/>
  <c r="G985" i="39"/>
  <c r="G984" i="39"/>
  <c r="G983" i="39"/>
  <c r="G982" i="39"/>
  <c r="G981" i="39"/>
  <c r="G980" i="39"/>
  <c r="G979" i="39"/>
  <c r="G978" i="39"/>
  <c r="G977" i="39"/>
  <c r="G976" i="39"/>
  <c r="G975" i="39"/>
  <c r="G974" i="39"/>
  <c r="G973" i="39"/>
  <c r="G971" i="39"/>
  <c r="G970" i="39"/>
  <c r="G969" i="39"/>
  <c r="G968" i="39"/>
  <c r="G967" i="39"/>
  <c r="G966" i="39"/>
  <c r="G965" i="39"/>
  <c r="G964" i="39"/>
  <c r="G963" i="39"/>
  <c r="G962" i="39"/>
  <c r="G961" i="39"/>
  <c r="G960" i="39"/>
  <c r="G959" i="39"/>
  <c r="G958" i="39"/>
  <c r="G957" i="39"/>
  <c r="G956" i="39"/>
  <c r="G955" i="39"/>
  <c r="G954" i="39"/>
  <c r="G953" i="39"/>
  <c r="G952" i="39"/>
  <c r="G951" i="39"/>
  <c r="G950" i="39"/>
  <c r="G949" i="39"/>
  <c r="G948" i="39"/>
  <c r="G947" i="39"/>
  <c r="G946" i="39"/>
  <c r="G945" i="39"/>
  <c r="G944" i="39"/>
  <c r="G943" i="39"/>
  <c r="G942" i="39"/>
  <c r="G941" i="39"/>
  <c r="G940" i="39"/>
  <c r="G939" i="39"/>
  <c r="G938" i="39"/>
  <c r="G937" i="39"/>
  <c r="G936" i="39"/>
  <c r="G935" i="39"/>
  <c r="G934" i="39"/>
  <c r="G933" i="39"/>
  <c r="G932" i="39"/>
  <c r="G931" i="39"/>
  <c r="G930" i="39"/>
  <c r="G929" i="39"/>
  <c r="G928" i="39"/>
  <c r="G927" i="39"/>
  <c r="G926" i="39"/>
  <c r="G925" i="39"/>
  <c r="G924" i="39"/>
  <c r="G923" i="39"/>
  <c r="G922" i="39"/>
  <c r="G921" i="39"/>
  <c r="G920" i="39"/>
  <c r="G919" i="39"/>
  <c r="G918" i="39"/>
  <c r="G917" i="39"/>
  <c r="G916" i="39"/>
  <c r="G915" i="39"/>
  <c r="G914" i="39"/>
  <c r="G913" i="39"/>
  <c r="G912" i="39"/>
  <c r="G911" i="39"/>
  <c r="G910" i="39"/>
  <c r="G909" i="39"/>
  <c r="G908" i="39"/>
  <c r="G907" i="39"/>
  <c r="G906" i="39"/>
  <c r="G905" i="39"/>
  <c r="G904" i="39"/>
  <c r="G903" i="39"/>
  <c r="G902" i="39"/>
  <c r="G901" i="39"/>
  <c r="G900" i="39"/>
  <c r="G899" i="39"/>
  <c r="G898" i="39"/>
  <c r="G897" i="39"/>
  <c r="G896" i="39"/>
  <c r="G895" i="39"/>
  <c r="G894" i="39"/>
  <c r="G883" i="39"/>
  <c r="G893" i="39"/>
  <c r="G892" i="39"/>
  <c r="G891" i="39"/>
  <c r="G890" i="39"/>
  <c r="G889" i="39"/>
  <c r="G888" i="39"/>
  <c r="G887" i="39"/>
  <c r="G886" i="39"/>
  <c r="G885" i="39"/>
  <c r="G884" i="39"/>
  <c r="G878" i="39"/>
  <c r="G876" i="39"/>
  <c r="G875" i="39"/>
  <c r="G882" i="39"/>
  <c r="G881" i="39"/>
  <c r="G880" i="39"/>
  <c r="G879" i="39"/>
  <c r="G877" i="39"/>
  <c r="G874" i="39"/>
  <c r="G873" i="39"/>
  <c r="G872" i="39"/>
  <c r="G871" i="39"/>
  <c r="G870" i="39"/>
  <c r="G869" i="39"/>
  <c r="G868" i="39"/>
  <c r="G867" i="39"/>
  <c r="G866" i="39"/>
  <c r="G865" i="39"/>
  <c r="G864" i="39"/>
  <c r="G854" i="39"/>
  <c r="G863" i="39"/>
  <c r="G862" i="39"/>
  <c r="G861" i="39"/>
  <c r="G860" i="39"/>
  <c r="G859" i="39"/>
  <c r="G858" i="39"/>
  <c r="G857" i="39"/>
  <c r="G856" i="39"/>
  <c r="G855" i="39"/>
  <c r="G853" i="39"/>
  <c r="G852" i="39"/>
  <c r="G851" i="39"/>
  <c r="G850" i="39"/>
  <c r="G849" i="39"/>
  <c r="G848" i="39"/>
  <c r="G847" i="39"/>
  <c r="G846" i="39"/>
  <c r="G845" i="39"/>
  <c r="G844" i="39"/>
  <c r="G843" i="39"/>
  <c r="G842" i="39"/>
  <c r="G841" i="39"/>
  <c r="G840" i="39"/>
  <c r="G839" i="39"/>
  <c r="G838" i="39"/>
  <c r="G837" i="39"/>
  <c r="G836" i="39"/>
  <c r="G835" i="39"/>
  <c r="G834" i="39"/>
  <c r="G833" i="39"/>
  <c r="G832" i="39"/>
  <c r="G831" i="39"/>
  <c r="G830" i="39"/>
  <c r="G829" i="39"/>
  <c r="G824" i="39"/>
  <c r="G815" i="39"/>
  <c r="G828" i="39"/>
  <c r="G827" i="39"/>
  <c r="G826" i="39"/>
  <c r="G825" i="39"/>
  <c r="G823" i="39"/>
  <c r="G822" i="39"/>
  <c r="G821" i="39"/>
  <c r="G820" i="39"/>
  <c r="G819" i="39"/>
  <c r="G818" i="39"/>
  <c r="G817" i="39"/>
  <c r="G816" i="39"/>
  <c r="G814" i="39"/>
  <c r="G813" i="39"/>
  <c r="G812" i="39"/>
  <c r="G811" i="39"/>
  <c r="G810" i="39"/>
  <c r="G809" i="39"/>
  <c r="G808" i="39"/>
  <c r="G807" i="39"/>
  <c r="G806" i="39"/>
  <c r="G805" i="39"/>
  <c r="G804" i="39"/>
  <c r="G803" i="39"/>
  <c r="G802" i="39"/>
  <c r="G801" i="39"/>
  <c r="G800" i="39"/>
  <c r="G799" i="39"/>
  <c r="G798" i="39"/>
  <c r="G797" i="39"/>
  <c r="G796" i="39"/>
  <c r="G795" i="39"/>
  <c r="G794" i="39"/>
  <c r="G793" i="39"/>
  <c r="G792" i="39"/>
  <c r="G791" i="39"/>
  <c r="G790" i="39"/>
  <c r="G789" i="39"/>
  <c r="G788" i="39"/>
  <c r="G787" i="39"/>
  <c r="G786" i="39"/>
  <c r="G785" i="39"/>
  <c r="G784" i="39"/>
  <c r="G783" i="39"/>
  <c r="G779" i="39"/>
  <c r="G780" i="39"/>
  <c r="G777" i="39"/>
  <c r="G782" i="39"/>
  <c r="G781" i="39"/>
  <c r="G778" i="39"/>
  <c r="G776" i="39"/>
  <c r="G775" i="39"/>
  <c r="G774" i="39"/>
  <c r="G773" i="39"/>
  <c r="G772" i="39"/>
  <c r="G771" i="39"/>
  <c r="G770" i="39"/>
  <c r="G769" i="39"/>
  <c r="G768" i="39"/>
  <c r="G767" i="39"/>
  <c r="G766" i="39"/>
  <c r="G765" i="39"/>
  <c r="G764" i="39"/>
  <c r="G763" i="39"/>
  <c r="G762" i="39"/>
  <c r="G761" i="39"/>
  <c r="G507" i="39"/>
  <c r="B263" i="33" s="1"/>
  <c r="G506" i="39"/>
  <c r="G505" i="39"/>
  <c r="G504" i="39"/>
  <c r="G503" i="39"/>
  <c r="G502" i="39"/>
  <c r="G501" i="39"/>
  <c r="G500" i="39"/>
  <c r="G499" i="39"/>
  <c r="G498" i="39"/>
  <c r="G497" i="39"/>
  <c r="G496" i="39"/>
  <c r="G495" i="39"/>
  <c r="G494" i="39"/>
  <c r="G493" i="39"/>
  <c r="G492" i="39"/>
  <c r="G491" i="39"/>
  <c r="G490" i="39"/>
  <c r="G489" i="39"/>
  <c r="G488" i="39"/>
  <c r="G487" i="39"/>
  <c r="G486" i="39"/>
  <c r="G485" i="39"/>
  <c r="G484" i="39"/>
  <c r="G483" i="39"/>
  <c r="G482" i="39"/>
  <c r="G481" i="39"/>
  <c r="G480" i="39"/>
  <c r="G479" i="39"/>
  <c r="G478" i="39"/>
  <c r="G477" i="39"/>
  <c r="G476" i="39"/>
  <c r="G475" i="39"/>
  <c r="G474" i="39"/>
  <c r="G473" i="39"/>
  <c r="G472" i="39"/>
  <c r="G471" i="39"/>
  <c r="G470" i="39"/>
  <c r="G469" i="39"/>
  <c r="G468" i="39"/>
  <c r="G467" i="39"/>
  <c r="G466" i="39"/>
  <c r="G465" i="39"/>
  <c r="G464" i="39"/>
  <c r="G463" i="39"/>
  <c r="G462" i="39"/>
  <c r="G461" i="39"/>
  <c r="G460" i="39"/>
  <c r="G459" i="39"/>
  <c r="G458" i="39"/>
  <c r="G457" i="39"/>
  <c r="G456" i="39"/>
  <c r="G455" i="39"/>
  <c r="G454" i="39"/>
  <c r="G453" i="39"/>
  <c r="G452" i="39"/>
  <c r="G451" i="39"/>
  <c r="G450" i="39"/>
  <c r="G449" i="39"/>
  <c r="G448" i="39"/>
  <c r="G447" i="39"/>
  <c r="G445" i="39"/>
  <c r="G440" i="39"/>
  <c r="G434" i="39"/>
  <c r="G433" i="39"/>
  <c r="G432" i="39"/>
  <c r="G426" i="39"/>
  <c r="G418" i="39"/>
  <c r="G446" i="39"/>
  <c r="G444" i="39"/>
  <c r="G443" i="39"/>
  <c r="G442" i="39"/>
  <c r="G441" i="39"/>
  <c r="G439" i="39"/>
  <c r="G438" i="39"/>
  <c r="G437" i="39"/>
  <c r="G436" i="39"/>
  <c r="G435" i="39"/>
  <c r="G431" i="39"/>
  <c r="G430" i="39"/>
  <c r="G429" i="39"/>
  <c r="G428" i="39"/>
  <c r="G427" i="39"/>
  <c r="G425" i="39"/>
  <c r="G424" i="39"/>
  <c r="G423" i="39"/>
  <c r="G422" i="39"/>
  <c r="G421" i="39"/>
  <c r="G420" i="39"/>
  <c r="G419" i="39"/>
  <c r="G417" i="39"/>
  <c r="G416" i="39"/>
  <c r="G415" i="39"/>
  <c r="G414" i="39"/>
  <c r="G413" i="39"/>
  <c r="G412" i="39"/>
  <c r="G411" i="39"/>
  <c r="G410" i="39"/>
  <c r="G409" i="39"/>
  <c r="G408" i="39"/>
  <c r="G407" i="39"/>
  <c r="G406" i="39"/>
  <c r="G405" i="39"/>
  <c r="G404" i="39"/>
  <c r="G403" i="39"/>
  <c r="G402" i="39"/>
  <c r="G401" i="39"/>
  <c r="G400" i="39"/>
  <c r="G399" i="39"/>
  <c r="G398" i="39"/>
  <c r="G397" i="39"/>
  <c r="G396" i="39"/>
  <c r="G395" i="39"/>
  <c r="G394" i="39"/>
  <c r="G393" i="39"/>
  <c r="G392" i="39"/>
  <c r="G391" i="39"/>
  <c r="G390" i="39"/>
  <c r="G389" i="39"/>
  <c r="G388" i="39"/>
  <c r="G387" i="39"/>
  <c r="G386" i="39"/>
  <c r="G385" i="39"/>
  <c r="G384" i="39"/>
  <c r="G383" i="39"/>
  <c r="G382" i="39"/>
  <c r="G381" i="39"/>
  <c r="G380" i="39"/>
  <c r="G379" i="39"/>
  <c r="G378" i="39"/>
  <c r="G377" i="39"/>
  <c r="G376" i="39"/>
  <c r="G375" i="39"/>
  <c r="G374" i="39"/>
  <c r="G373" i="39"/>
  <c r="G372" i="39"/>
  <c r="G371" i="39"/>
  <c r="G370" i="39"/>
  <c r="G369" i="39"/>
  <c r="G368" i="39"/>
  <c r="G367" i="39"/>
  <c r="G366" i="39"/>
  <c r="G365" i="39"/>
  <c r="G364" i="39"/>
  <c r="G363" i="39"/>
  <c r="G362" i="39"/>
  <c r="G361" i="39"/>
  <c r="G360" i="39"/>
  <c r="G359" i="39"/>
  <c r="G358" i="39"/>
  <c r="G357" i="39"/>
  <c r="G356" i="39"/>
  <c r="G355" i="39"/>
  <c r="G354" i="39"/>
  <c r="G353" i="39"/>
  <c r="G352" i="39"/>
  <c r="G351" i="39"/>
  <c r="G350" i="39"/>
  <c r="G349" i="39"/>
  <c r="G348" i="39"/>
  <c r="G347" i="39"/>
  <c r="G346" i="39"/>
  <c r="G345" i="39"/>
  <c r="G344" i="39"/>
  <c r="G343" i="39"/>
  <c r="G342" i="39"/>
  <c r="G341" i="39"/>
  <c r="G340" i="39"/>
  <c r="G339" i="39"/>
  <c r="G338" i="39"/>
  <c r="G337" i="39"/>
  <c r="G336" i="39"/>
  <c r="G335" i="39"/>
  <c r="G334" i="39"/>
  <c r="G333" i="39"/>
  <c r="G332" i="39"/>
  <c r="G331" i="39"/>
  <c r="G330" i="39"/>
  <c r="G329" i="39"/>
  <c r="G328" i="39"/>
  <c r="G327" i="39"/>
  <c r="G326" i="39"/>
  <c r="G325" i="39"/>
  <c r="G324" i="39"/>
  <c r="G323" i="39"/>
  <c r="G322" i="39"/>
  <c r="G321" i="39"/>
  <c r="G320" i="39"/>
  <c r="G319" i="39"/>
  <c r="G318" i="39"/>
  <c r="G317" i="39"/>
  <c r="G316" i="39"/>
  <c r="G315" i="39"/>
  <c r="G314" i="39"/>
  <c r="G313" i="39"/>
  <c r="G312" i="39"/>
  <c r="G311" i="39"/>
  <c r="G310" i="39"/>
  <c r="G309" i="39"/>
  <c r="G308" i="39"/>
  <c r="G307" i="39"/>
  <c r="G306" i="39"/>
  <c r="G305" i="39"/>
  <c r="G304" i="39"/>
  <c r="G303" i="39"/>
  <c r="G302" i="39"/>
  <c r="G301" i="39"/>
  <c r="G300" i="39"/>
  <c r="G299" i="39"/>
  <c r="G298" i="39"/>
  <c r="G297" i="39"/>
  <c r="G296" i="39"/>
  <c r="G295" i="39"/>
  <c r="G294" i="39"/>
  <c r="G293" i="39"/>
  <c r="G292" i="39"/>
  <c r="G291" i="39"/>
  <c r="G290" i="39"/>
  <c r="G289" i="39"/>
  <c r="G288" i="39"/>
  <c r="G287" i="39"/>
  <c r="G286" i="39"/>
  <c r="G285" i="39"/>
  <c r="G284" i="39"/>
  <c r="G283" i="39"/>
  <c r="G282" i="39"/>
  <c r="G281" i="39"/>
  <c r="G280" i="39"/>
  <c r="G279" i="39"/>
  <c r="G278" i="39"/>
  <c r="G277" i="39"/>
  <c r="G276" i="39"/>
  <c r="G275" i="39"/>
  <c r="G274" i="39"/>
  <c r="G273" i="39"/>
  <c r="G272" i="39"/>
  <c r="G271" i="39"/>
  <c r="G270" i="39"/>
  <c r="G269" i="39"/>
  <c r="G268" i="39"/>
  <c r="G267" i="39"/>
  <c r="G266" i="39"/>
  <c r="G265" i="39"/>
  <c r="G264" i="39"/>
  <c r="G263" i="39"/>
  <c r="G262" i="39"/>
  <c r="G261" i="39"/>
  <c r="G260" i="39"/>
  <c r="G259" i="39"/>
  <c r="G6" i="39"/>
  <c r="A11" i="39" l="1"/>
  <c r="G7" i="39" l="1"/>
  <c r="J1257" i="39" l="1"/>
  <c r="J1256" i="39"/>
  <c r="J1255" i="39"/>
  <c r="J1254" i="39"/>
  <c r="J1253" i="39"/>
  <c r="J1252" i="39"/>
  <c r="J1251" i="39"/>
  <c r="J1250" i="39"/>
  <c r="J1249" i="39"/>
  <c r="J1248" i="39"/>
  <c r="J1247" i="39"/>
  <c r="J1246" i="39"/>
  <c r="J1245" i="39"/>
  <c r="J1244" i="39"/>
  <c r="J1243" i="39"/>
  <c r="J1242" i="39"/>
  <c r="J1241" i="39"/>
  <c r="J1240" i="39"/>
  <c r="J1239" i="39"/>
  <c r="J1238" i="39"/>
  <c r="J1237" i="39"/>
  <c r="J1236" i="39"/>
  <c r="J1235" i="39"/>
  <c r="J1234" i="39"/>
  <c r="J1233" i="39"/>
  <c r="J1232" i="39"/>
  <c r="J1231" i="39"/>
  <c r="J1230" i="39"/>
  <c r="J1229" i="39"/>
  <c r="J1228" i="39"/>
  <c r="J1227" i="39"/>
  <c r="J1226" i="39"/>
  <c r="J1225" i="39"/>
  <c r="J1224" i="39"/>
  <c r="J1223" i="39"/>
  <c r="J1222" i="39"/>
  <c r="J1221" i="39"/>
  <c r="J1220" i="39"/>
  <c r="J1219" i="39"/>
  <c r="J1218" i="39"/>
  <c r="J1217" i="39"/>
  <c r="J1216" i="39"/>
  <c r="J1215" i="39"/>
  <c r="J1214" i="39"/>
  <c r="J1213" i="39"/>
  <c r="J1212" i="39"/>
  <c r="J1211" i="39"/>
  <c r="J1210" i="39"/>
  <c r="J1209" i="39"/>
  <c r="J1208" i="39"/>
  <c r="J1207" i="39"/>
  <c r="J1206" i="39"/>
  <c r="J1205" i="39"/>
  <c r="J1204" i="39"/>
  <c r="J1203" i="39"/>
  <c r="J1202" i="39"/>
  <c r="J1201" i="39"/>
  <c r="J1200" i="39"/>
  <c r="J1199" i="39"/>
  <c r="J1198" i="39"/>
  <c r="J1197" i="39"/>
  <c r="J1196" i="39"/>
  <c r="J1195" i="39"/>
  <c r="J1194" i="39"/>
  <c r="J1193" i="39"/>
  <c r="J1192" i="39"/>
  <c r="J1191" i="39"/>
  <c r="J1190" i="39"/>
  <c r="J1189" i="39"/>
  <c r="J1188" i="39"/>
  <c r="J1187" i="39"/>
  <c r="J1186" i="39"/>
  <c r="J1185" i="39"/>
  <c r="J1184" i="39"/>
  <c r="J1183" i="39"/>
  <c r="J1182" i="39"/>
  <c r="J1181" i="39"/>
  <c r="J1180" i="39"/>
  <c r="J1179" i="39"/>
  <c r="J1178" i="39"/>
  <c r="J1177" i="39"/>
  <c r="J1176" i="39"/>
  <c r="J1175" i="39"/>
  <c r="J1174" i="39"/>
  <c r="J1173" i="39"/>
  <c r="J1172" i="39"/>
  <c r="J1171" i="39"/>
  <c r="J1170" i="39"/>
  <c r="J1169" i="39"/>
  <c r="J1168" i="39"/>
  <c r="J1167" i="39"/>
  <c r="J1166" i="39"/>
  <c r="J1165" i="39"/>
  <c r="J1164" i="39"/>
  <c r="J1163" i="39"/>
  <c r="J1162" i="39"/>
  <c r="J1161" i="39"/>
  <c r="J1160" i="39"/>
  <c r="J1159" i="39"/>
  <c r="J1158" i="39"/>
  <c r="J1157" i="39"/>
  <c r="J1156" i="39"/>
  <c r="J1155" i="39"/>
  <c r="J1154" i="39"/>
  <c r="J1153" i="39"/>
  <c r="J1152" i="39"/>
  <c r="J1151" i="39"/>
  <c r="J1150" i="39"/>
  <c r="J1149" i="39"/>
  <c r="J1148" i="39"/>
  <c r="J1147" i="39"/>
  <c r="J1146" i="39"/>
  <c r="J1145" i="39"/>
  <c r="J1144" i="39"/>
  <c r="J1143" i="39"/>
  <c r="J1142" i="39"/>
  <c r="J1141" i="39"/>
  <c r="J1140" i="39"/>
  <c r="J1139" i="39"/>
  <c r="J1138" i="39"/>
  <c r="J1137" i="39"/>
  <c r="J1136" i="39"/>
  <c r="J1135" i="39"/>
  <c r="J1134" i="39"/>
  <c r="J1133" i="39"/>
  <c r="J1132" i="39"/>
  <c r="J1131" i="39"/>
  <c r="J1130" i="39"/>
  <c r="J1129" i="39"/>
  <c r="J1128" i="39"/>
  <c r="J1127" i="39"/>
  <c r="J1126" i="39"/>
  <c r="J1125" i="39"/>
  <c r="J1124" i="39"/>
  <c r="J1123" i="39"/>
  <c r="J1122" i="39"/>
  <c r="J1121" i="39"/>
  <c r="J1120" i="39"/>
  <c r="J1119" i="39"/>
  <c r="J1118" i="39"/>
  <c r="J1117" i="39"/>
  <c r="J1116" i="39"/>
  <c r="J1115" i="39"/>
  <c r="J1114" i="39"/>
  <c r="J1113" i="39"/>
  <c r="J1112" i="39"/>
  <c r="J1111" i="39"/>
  <c r="J1110" i="39"/>
  <c r="J1109" i="39"/>
  <c r="J1108" i="39"/>
  <c r="J1107" i="39"/>
  <c r="J1106" i="39"/>
  <c r="J1105" i="39"/>
  <c r="J1104" i="39"/>
  <c r="J1103" i="39"/>
  <c r="J1102" i="39"/>
  <c r="J1101" i="39"/>
  <c r="J1100" i="39"/>
  <c r="J1099" i="39"/>
  <c r="J1098" i="39"/>
  <c r="J1097" i="39"/>
  <c r="J1096" i="39"/>
  <c r="J1095" i="39"/>
  <c r="J1094" i="39"/>
  <c r="J1093" i="39"/>
  <c r="J1092" i="39"/>
  <c r="J1091" i="39"/>
  <c r="J1090" i="39"/>
  <c r="J1089" i="39"/>
  <c r="J1088" i="39"/>
  <c r="J1087" i="39"/>
  <c r="J1086" i="39"/>
  <c r="J1085" i="39"/>
  <c r="J1084" i="39"/>
  <c r="J1083" i="39"/>
  <c r="J1082" i="39"/>
  <c r="J1081" i="39"/>
  <c r="J1080" i="39"/>
  <c r="J1079" i="39"/>
  <c r="J1078" i="39"/>
  <c r="J1077" i="39"/>
  <c r="J1076" i="39"/>
  <c r="J1075" i="39"/>
  <c r="J1074" i="39"/>
  <c r="J1073" i="39"/>
  <c r="J1072" i="39"/>
  <c r="J1071" i="39"/>
  <c r="J1070" i="39"/>
  <c r="J1069" i="39"/>
  <c r="J1068" i="39"/>
  <c r="J1067" i="39"/>
  <c r="J1066" i="39"/>
  <c r="J1065" i="39"/>
  <c r="J1064" i="39"/>
  <c r="J1063" i="39"/>
  <c r="J1062" i="39"/>
  <c r="J1061" i="39"/>
  <c r="J1060" i="39"/>
  <c r="J1059" i="39"/>
  <c r="J1058" i="39"/>
  <c r="J1057" i="39"/>
  <c r="J1056" i="39"/>
  <c r="J1055" i="39"/>
  <c r="J1054" i="39"/>
  <c r="J1053" i="39"/>
  <c r="J1052" i="39"/>
  <c r="J1051" i="39"/>
  <c r="J1050" i="39"/>
  <c r="J1049" i="39"/>
  <c r="J1048" i="39"/>
  <c r="J1047" i="39"/>
  <c r="J1046" i="39"/>
  <c r="J1045" i="39"/>
  <c r="J1044" i="39"/>
  <c r="J1043" i="39"/>
  <c r="J1042" i="39"/>
  <c r="J1041" i="39"/>
  <c r="J1040" i="39"/>
  <c r="J1039" i="39"/>
  <c r="J1038" i="39"/>
  <c r="J1037" i="39"/>
  <c r="J1036" i="39"/>
  <c r="J1035" i="39"/>
  <c r="J1034" i="39"/>
  <c r="J1033" i="39"/>
  <c r="J1032" i="39"/>
  <c r="J1031" i="39"/>
  <c r="J1030" i="39"/>
  <c r="J1029" i="39"/>
  <c r="J1028" i="39"/>
  <c r="J1027" i="39"/>
  <c r="J1026" i="39"/>
  <c r="J1025" i="39"/>
  <c r="J1024" i="39"/>
  <c r="J1023" i="39"/>
  <c r="J1022" i="39"/>
  <c r="J1021" i="39"/>
  <c r="J1020" i="39"/>
  <c r="J1019" i="39"/>
  <c r="J1018" i="39"/>
  <c r="J1017" i="39"/>
  <c r="J1016" i="39"/>
  <c r="J1015" i="39"/>
  <c r="J1014" i="39"/>
  <c r="J1013" i="39"/>
  <c r="J1012" i="39"/>
  <c r="J1011" i="39"/>
  <c r="J1010" i="39"/>
  <c r="J1009" i="39"/>
  <c r="J1008" i="39"/>
  <c r="J1007" i="39"/>
  <c r="J1006" i="39"/>
  <c r="J1005" i="39"/>
  <c r="J1004" i="39"/>
  <c r="J1003" i="39"/>
  <c r="J1002" i="39"/>
  <c r="J1001" i="39"/>
  <c r="J1000" i="39"/>
  <c r="J999" i="39"/>
  <c r="J998" i="39"/>
  <c r="J997" i="39"/>
  <c r="J996" i="39"/>
  <c r="J995" i="39"/>
  <c r="J994" i="39"/>
  <c r="J993" i="39"/>
  <c r="J992" i="39"/>
  <c r="J991" i="39"/>
  <c r="J990" i="39"/>
  <c r="J989" i="39"/>
  <c r="J988" i="39"/>
  <c r="J987" i="39"/>
  <c r="J986" i="39"/>
  <c r="J985" i="39"/>
  <c r="J984" i="39"/>
  <c r="J983" i="39"/>
  <c r="J982" i="39"/>
  <c r="J981" i="39"/>
  <c r="J980" i="39"/>
  <c r="J979" i="39"/>
  <c r="J978" i="39"/>
  <c r="J977" i="39"/>
  <c r="J976" i="39"/>
  <c r="J975" i="39"/>
  <c r="J974" i="39"/>
  <c r="J973" i="39"/>
  <c r="J972" i="39"/>
  <c r="J971" i="39"/>
  <c r="J970" i="39"/>
  <c r="J969" i="39"/>
  <c r="J968" i="39"/>
  <c r="J967" i="39"/>
  <c r="J966" i="39"/>
  <c r="J965" i="39"/>
  <c r="J964" i="39"/>
  <c r="J963" i="39"/>
  <c r="J962" i="39"/>
  <c r="J961" i="39"/>
  <c r="J960" i="39"/>
  <c r="J959" i="39"/>
  <c r="J958" i="39"/>
  <c r="J957" i="39"/>
  <c r="J956" i="39"/>
  <c r="J955" i="39"/>
  <c r="J954" i="39"/>
  <c r="J953" i="39"/>
  <c r="J952" i="39"/>
  <c r="J951" i="39"/>
  <c r="J950" i="39"/>
  <c r="J949" i="39"/>
  <c r="J948" i="39"/>
  <c r="J947" i="39"/>
  <c r="J946" i="39"/>
  <c r="J945" i="39"/>
  <c r="J944" i="39"/>
  <c r="J943" i="39"/>
  <c r="J942" i="39"/>
  <c r="J941" i="39"/>
  <c r="J940" i="39"/>
  <c r="J939" i="39"/>
  <c r="J938" i="39"/>
  <c r="J937" i="39"/>
  <c r="J936" i="39"/>
  <c r="J935" i="39"/>
  <c r="J934" i="39"/>
  <c r="J933" i="39"/>
  <c r="J932" i="39"/>
  <c r="J931" i="39"/>
  <c r="J930" i="39"/>
  <c r="J929" i="39"/>
  <c r="J928" i="39"/>
  <c r="J927" i="39"/>
  <c r="J926" i="39"/>
  <c r="J925" i="39"/>
  <c r="J924" i="39"/>
  <c r="J923" i="39"/>
  <c r="J922" i="39"/>
  <c r="J921" i="39"/>
  <c r="J920" i="39"/>
  <c r="J919" i="39"/>
  <c r="J918" i="39"/>
  <c r="J917" i="39"/>
  <c r="J916" i="39"/>
  <c r="J915" i="39"/>
  <c r="J914" i="39"/>
  <c r="J913" i="39"/>
  <c r="J912" i="39"/>
  <c r="J911" i="39"/>
  <c r="J910" i="39"/>
  <c r="J909" i="39"/>
  <c r="J908" i="39"/>
  <c r="J907" i="39"/>
  <c r="J906" i="39"/>
  <c r="J905" i="39"/>
  <c r="J904" i="39"/>
  <c r="J903" i="39"/>
  <c r="J902" i="39"/>
  <c r="J901" i="39"/>
  <c r="J900" i="39"/>
  <c r="J899" i="39"/>
  <c r="J898" i="39"/>
  <c r="J897" i="39"/>
  <c r="J896" i="39"/>
  <c r="J895" i="39"/>
  <c r="J894" i="39"/>
  <c r="J893" i="39"/>
  <c r="J892" i="39"/>
  <c r="J891" i="39"/>
  <c r="J890" i="39"/>
  <c r="J889" i="39"/>
  <c r="J888" i="39"/>
  <c r="J887" i="39"/>
  <c r="J886" i="39"/>
  <c r="J885" i="39"/>
  <c r="J884" i="39"/>
  <c r="J883" i="39"/>
  <c r="J882" i="39"/>
  <c r="J881" i="39"/>
  <c r="J880" i="39"/>
  <c r="J879" i="39"/>
  <c r="J878" i="39"/>
  <c r="J877" i="39"/>
  <c r="J876" i="39"/>
  <c r="J875" i="39"/>
  <c r="J874" i="39"/>
  <c r="J873" i="39"/>
  <c r="J872" i="39"/>
  <c r="J871" i="39"/>
  <c r="J870" i="39"/>
  <c r="J869" i="39"/>
  <c r="J868" i="39"/>
  <c r="J867" i="39"/>
  <c r="J866" i="39"/>
  <c r="J865" i="39"/>
  <c r="J864" i="39"/>
  <c r="J863" i="39"/>
  <c r="J862" i="39"/>
  <c r="J861" i="39"/>
  <c r="J860" i="39"/>
  <c r="J859" i="39"/>
  <c r="J858" i="39"/>
  <c r="J857" i="39"/>
  <c r="J856" i="39"/>
  <c r="J855" i="39"/>
  <c r="J854" i="39"/>
  <c r="J853" i="39"/>
  <c r="J852" i="39"/>
  <c r="J851" i="39"/>
  <c r="J850" i="39"/>
  <c r="J849" i="39"/>
  <c r="J848" i="39"/>
  <c r="J847" i="39"/>
  <c r="J846" i="39"/>
  <c r="J845" i="39"/>
  <c r="J844" i="39"/>
  <c r="J843" i="39"/>
  <c r="J842" i="39"/>
  <c r="J841" i="39"/>
  <c r="J840" i="39"/>
  <c r="J839" i="39"/>
  <c r="J838" i="39"/>
  <c r="J837" i="39"/>
  <c r="J836" i="39"/>
  <c r="J835" i="39"/>
  <c r="J834" i="39"/>
  <c r="J833" i="39"/>
  <c r="J832" i="39"/>
  <c r="J831" i="39"/>
  <c r="J830" i="39"/>
  <c r="J829" i="39"/>
  <c r="J828" i="39"/>
  <c r="J827" i="39"/>
  <c r="J826" i="39"/>
  <c r="J825" i="39"/>
  <c r="J824" i="39"/>
  <c r="J823" i="39"/>
  <c r="J822" i="39"/>
  <c r="J821" i="39"/>
  <c r="J820" i="39"/>
  <c r="J819" i="39"/>
  <c r="J818" i="39"/>
  <c r="J817" i="39"/>
  <c r="J816" i="39"/>
  <c r="J815" i="39"/>
  <c r="J814" i="39"/>
  <c r="J813" i="39"/>
  <c r="J812" i="39"/>
  <c r="J811" i="39"/>
  <c r="J810" i="39"/>
  <c r="J809" i="39"/>
  <c r="J808" i="39"/>
  <c r="J807" i="39"/>
  <c r="J806" i="39"/>
  <c r="J805" i="39"/>
  <c r="J804" i="39"/>
  <c r="J803" i="39"/>
  <c r="J802" i="39"/>
  <c r="J801" i="39"/>
  <c r="J800" i="39"/>
  <c r="J799" i="39"/>
  <c r="J798" i="39"/>
  <c r="J797" i="39"/>
  <c r="J796" i="39"/>
  <c r="J795" i="39"/>
  <c r="J794" i="39"/>
  <c r="J793" i="39"/>
  <c r="J792" i="39"/>
  <c r="J791" i="39"/>
  <c r="J790" i="39"/>
  <c r="J789" i="39"/>
  <c r="J788" i="39"/>
  <c r="J787" i="39"/>
  <c r="J786" i="39"/>
  <c r="J785" i="39"/>
  <c r="J784" i="39"/>
  <c r="J783" i="39"/>
  <c r="J782" i="39"/>
  <c r="J781" i="39"/>
  <c r="J780" i="39"/>
  <c r="J779" i="39"/>
  <c r="J778" i="39"/>
  <c r="J777" i="39"/>
  <c r="J775" i="39"/>
  <c r="J769" i="39"/>
  <c r="J761" i="39"/>
  <c r="J507" i="39"/>
  <c r="J506" i="39"/>
  <c r="J505" i="39"/>
  <c r="J504" i="39"/>
  <c r="J503" i="39"/>
  <c r="J502" i="39"/>
  <c r="J501" i="39"/>
  <c r="J500" i="39"/>
  <c r="J499" i="39"/>
  <c r="J498" i="39"/>
  <c r="J497" i="39"/>
  <c r="J496" i="39"/>
  <c r="J495" i="39"/>
  <c r="J494" i="39"/>
  <c r="J493" i="39"/>
  <c r="J492" i="39"/>
  <c r="J491" i="39"/>
  <c r="J490" i="39"/>
  <c r="J489" i="39"/>
  <c r="J488" i="39"/>
  <c r="J487" i="39"/>
  <c r="J486" i="39"/>
  <c r="J485" i="39"/>
  <c r="J484" i="39"/>
  <c r="J483" i="39"/>
  <c r="J482" i="39"/>
  <c r="J481" i="39"/>
  <c r="J480" i="39"/>
  <c r="J479" i="39"/>
  <c r="J478" i="39"/>
  <c r="J477" i="39"/>
  <c r="J476" i="39"/>
  <c r="J475" i="39"/>
  <c r="J474" i="39"/>
  <c r="J473" i="39"/>
  <c r="J472" i="39"/>
  <c r="J471" i="39"/>
  <c r="J470" i="39"/>
  <c r="J469" i="39"/>
  <c r="J468" i="39"/>
  <c r="J467" i="39"/>
  <c r="J466" i="39"/>
  <c r="J465" i="39"/>
  <c r="J464" i="39"/>
  <c r="J463" i="39"/>
  <c r="J462" i="39"/>
  <c r="J461" i="39"/>
  <c r="J460" i="39"/>
  <c r="J459" i="39"/>
  <c r="J458" i="39"/>
  <c r="J457" i="39"/>
  <c r="J456" i="39"/>
  <c r="J455" i="39"/>
  <c r="J454" i="39"/>
  <c r="J453" i="39"/>
  <c r="J452" i="39"/>
  <c r="J451" i="39"/>
  <c r="J450" i="39"/>
  <c r="J449" i="39"/>
  <c r="J448" i="39"/>
  <c r="J447" i="39"/>
  <c r="J446" i="39"/>
  <c r="J445" i="39"/>
  <c r="J444" i="39"/>
  <c r="J443" i="39"/>
  <c r="J442" i="39"/>
  <c r="J441" i="39"/>
  <c r="J440" i="39"/>
  <c r="J439" i="39"/>
  <c r="J438" i="39"/>
  <c r="J437" i="39"/>
  <c r="J436" i="39"/>
  <c r="J435" i="39"/>
  <c r="J434" i="39"/>
  <c r="J433" i="39"/>
  <c r="J432" i="39"/>
  <c r="J431" i="39"/>
  <c r="J430" i="39"/>
  <c r="J429" i="39"/>
  <c r="J428" i="39"/>
  <c r="J427" i="39"/>
  <c r="J426" i="39"/>
  <c r="J425" i="39"/>
  <c r="J424" i="39"/>
  <c r="J423" i="39"/>
  <c r="J422" i="39"/>
  <c r="J421" i="39"/>
  <c r="J420" i="39"/>
  <c r="J419" i="39"/>
  <c r="J418" i="39"/>
  <c r="J417" i="39"/>
  <c r="J416" i="39"/>
  <c r="J415" i="39"/>
  <c r="J414" i="39"/>
  <c r="J413" i="39"/>
  <c r="J412" i="39"/>
  <c r="J411" i="39"/>
  <c r="J410" i="39"/>
  <c r="J409" i="39"/>
  <c r="J408" i="39"/>
  <c r="J407" i="39"/>
  <c r="J406" i="39"/>
  <c r="J405" i="39"/>
  <c r="J404" i="39"/>
  <c r="J403" i="39"/>
  <c r="J402" i="39"/>
  <c r="J401" i="39"/>
  <c r="J400" i="39"/>
  <c r="J399" i="39"/>
  <c r="J398" i="39"/>
  <c r="J397" i="39"/>
  <c r="J396" i="39"/>
  <c r="J395" i="39"/>
  <c r="J394" i="39"/>
  <c r="J393" i="39"/>
  <c r="J392" i="39"/>
  <c r="J391" i="39"/>
  <c r="J390" i="39"/>
  <c r="J389" i="39"/>
  <c r="J388" i="39"/>
  <c r="J387" i="39"/>
  <c r="J386" i="39"/>
  <c r="J385" i="39"/>
  <c r="J384" i="39"/>
  <c r="J383" i="39"/>
  <c r="J382" i="39"/>
  <c r="J381" i="39"/>
  <c r="J380" i="39"/>
  <c r="J379" i="39"/>
  <c r="J378" i="39"/>
  <c r="J377" i="39"/>
  <c r="J376" i="39"/>
  <c r="J375" i="39"/>
  <c r="J374" i="39"/>
  <c r="J373" i="39"/>
  <c r="J372" i="39"/>
  <c r="J371" i="39"/>
  <c r="J370" i="39"/>
  <c r="J369" i="39"/>
  <c r="J368" i="39"/>
  <c r="J367" i="39"/>
  <c r="J366" i="39"/>
  <c r="J365" i="39"/>
  <c r="J364" i="39"/>
  <c r="J363" i="39"/>
  <c r="J362" i="39"/>
  <c r="J361" i="39"/>
  <c r="J360" i="39"/>
  <c r="J359" i="39"/>
  <c r="J358" i="39"/>
  <c r="J357" i="39"/>
  <c r="J356" i="39"/>
  <c r="J355" i="39"/>
  <c r="J354" i="39"/>
  <c r="J353" i="39"/>
  <c r="J352" i="39"/>
  <c r="J351" i="39"/>
  <c r="J350" i="39"/>
  <c r="J349" i="39"/>
  <c r="J348" i="39"/>
  <c r="J347" i="39"/>
  <c r="J346" i="39"/>
  <c r="J345" i="39"/>
  <c r="J344" i="39"/>
  <c r="J343" i="39"/>
  <c r="J342" i="39"/>
  <c r="J341" i="39"/>
  <c r="J340" i="39"/>
  <c r="J339" i="39"/>
  <c r="J338" i="39"/>
  <c r="J337" i="39"/>
  <c r="J336" i="39"/>
  <c r="J335" i="39"/>
  <c r="J334" i="39"/>
  <c r="J333" i="39"/>
  <c r="J332" i="39"/>
  <c r="J331" i="39"/>
  <c r="J330" i="39"/>
  <c r="J329" i="39"/>
  <c r="J328" i="39"/>
  <c r="J327" i="39"/>
  <c r="J326" i="39"/>
  <c r="J325" i="39"/>
  <c r="J324" i="39"/>
  <c r="J323" i="39"/>
  <c r="J322" i="39"/>
  <c r="J321" i="39"/>
  <c r="J320" i="39"/>
  <c r="J319" i="39"/>
  <c r="J318" i="39"/>
  <c r="J317" i="39"/>
  <c r="J316" i="39"/>
  <c r="J315" i="39"/>
  <c r="J314" i="39"/>
  <c r="J313" i="39"/>
  <c r="J312" i="39"/>
  <c r="J311" i="39"/>
  <c r="J310" i="39"/>
  <c r="J309" i="39"/>
  <c r="J308" i="39"/>
  <c r="J307" i="39"/>
  <c r="J306" i="39"/>
  <c r="J305" i="39"/>
  <c r="J304" i="39"/>
  <c r="J303" i="39"/>
  <c r="J302" i="39"/>
  <c r="J301" i="39"/>
  <c r="J300" i="39"/>
  <c r="J299" i="39"/>
  <c r="J298" i="39"/>
  <c r="J297" i="39"/>
  <c r="J296" i="39"/>
  <c r="J295" i="39"/>
  <c r="J294" i="39"/>
  <c r="J293" i="39"/>
  <c r="J292" i="39"/>
  <c r="J291" i="39"/>
  <c r="J290" i="39"/>
  <c r="J289" i="39"/>
  <c r="J288" i="39"/>
  <c r="J287" i="39"/>
  <c r="J286" i="39"/>
  <c r="J285" i="39"/>
  <c r="J284" i="39"/>
  <c r="J283" i="39"/>
  <c r="J282" i="39"/>
  <c r="J281" i="39"/>
  <c r="J280" i="39"/>
  <c r="J279" i="39"/>
  <c r="J278" i="39"/>
  <c r="J277" i="39"/>
  <c r="J276" i="39"/>
  <c r="J275" i="39"/>
  <c r="J274" i="39"/>
  <c r="J273" i="39"/>
  <c r="J272" i="39"/>
  <c r="J271" i="39"/>
  <c r="J270" i="39"/>
  <c r="J269" i="39"/>
  <c r="J268" i="39"/>
  <c r="J267" i="39"/>
  <c r="J266" i="39"/>
  <c r="J265" i="39"/>
  <c r="J264" i="39"/>
  <c r="J263" i="39"/>
  <c r="J262" i="39"/>
  <c r="K1" i="39" l="1"/>
  <c r="J4" i="39"/>
  <c r="A30" i="39" l="1"/>
  <c r="A32" i="39"/>
  <c r="A31" i="39"/>
  <c r="A29" i="39"/>
  <c r="A28" i="39"/>
  <c r="A27" i="39"/>
  <c r="A26" i="39"/>
  <c r="A25" i="39"/>
  <c r="A24" i="39"/>
  <c r="A23" i="39"/>
  <c r="G5" i="39"/>
  <c r="H1" i="39" s="1"/>
  <c r="A9" i="39"/>
  <c r="A12" i="39"/>
  <c r="A10" i="39"/>
  <c r="A7" i="39"/>
  <c r="A6" i="39"/>
  <c r="A5" i="39"/>
  <c r="B1" i="39" l="1"/>
  <c r="N2" i="3" s="1"/>
  <c r="A4" i="39"/>
  <c r="A2" i="39" s="1"/>
  <c r="L2" i="33"/>
  <c r="G4" i="39"/>
  <c r="D5" i="39"/>
  <c r="P9" i="39"/>
  <c r="P8" i="39"/>
  <c r="M21" i="39"/>
  <c r="P7" i="39"/>
  <c r="Q1" i="39" s="1"/>
  <c r="M20" i="39"/>
  <c r="M19" i="39"/>
  <c r="M18" i="39"/>
  <c r="L2" i="35"/>
  <c r="L2" i="3" l="1"/>
  <c r="D25" i="5"/>
  <c r="E1" i="39"/>
  <c r="M17" i="39"/>
  <c r="M4" i="39" s="1"/>
  <c r="M2" i="39" l="1"/>
  <c r="D20" i="5" s="1"/>
  <c r="N1" i="39"/>
  <c r="H2" i="37" s="1"/>
  <c r="G2" i="37" l="1"/>
  <c r="P11" i="39" l="1"/>
  <c r="P10" i="39"/>
  <c r="J2" i="1" l="1"/>
  <c r="G2" i="39"/>
  <c r="D23" i="5" l="1"/>
  <c r="K2" i="33"/>
  <c r="E9" i="3" l="1"/>
  <c r="H22" i="5"/>
  <c r="J2" i="39" l="1"/>
  <c r="D24" i="5" l="1"/>
  <c r="K2" i="35"/>
  <c r="D15" i="37"/>
  <c r="E10" i="3" l="1"/>
  <c r="S7" i="3" l="1"/>
  <c r="E8" i="3" l="1"/>
  <c r="E7" i="3"/>
  <c r="D10" i="1" l="1"/>
  <c r="D9" i="1"/>
  <c r="D8" i="1"/>
  <c r="G21" i="6" l="1"/>
  <c r="P24" i="39" s="1"/>
  <c r="E20" i="6"/>
  <c r="E19" i="6"/>
  <c r="E18" i="6"/>
  <c r="E17" i="6"/>
  <c r="E16" i="6"/>
  <c r="E15" i="6"/>
  <c r="E14" i="6"/>
  <c r="E13" i="6"/>
  <c r="E12" i="6"/>
  <c r="E11" i="6"/>
  <c r="E10" i="6"/>
  <c r="E9" i="6"/>
  <c r="E8" i="6"/>
  <c r="E7" i="6"/>
  <c r="E6" i="6"/>
  <c r="D4" i="39"/>
  <c r="D2" i="39" s="1"/>
  <c r="P4" i="39" l="1"/>
  <c r="P2" i="39" s="1"/>
  <c r="F2" i="6"/>
  <c r="I2" i="1"/>
  <c r="D22" i="5"/>
  <c r="E2" i="6" l="1"/>
  <c r="D21" i="5"/>
</calcChain>
</file>

<file path=xl/sharedStrings.xml><?xml version="1.0" encoding="utf-8"?>
<sst xmlns="http://schemas.openxmlformats.org/spreadsheetml/2006/main" count="8196" uniqueCount="2472">
  <si>
    <t>Package type</t>
  </si>
  <si>
    <t>Packing group</t>
  </si>
  <si>
    <t>SECURITY</t>
  </si>
  <si>
    <t>Port facility</t>
  </si>
  <si>
    <t>Bunkering</t>
  </si>
  <si>
    <t>Ship name</t>
  </si>
  <si>
    <t>MMSI number</t>
  </si>
  <si>
    <t>Voyage</t>
  </si>
  <si>
    <t>IMDG</t>
  </si>
  <si>
    <t>Loading</t>
  </si>
  <si>
    <t>Discharging</t>
  </si>
  <si>
    <t>Email</t>
  </si>
  <si>
    <t>Company name</t>
  </si>
  <si>
    <t>Longitude</t>
  </si>
  <si>
    <t>IGC</t>
  </si>
  <si>
    <t>IBC</t>
  </si>
  <si>
    <t>IMSBC</t>
  </si>
  <si>
    <t>Other</t>
  </si>
  <si>
    <t>Code</t>
  </si>
  <si>
    <t>Purposes</t>
  </si>
  <si>
    <t>Anchoring</t>
  </si>
  <si>
    <t>Arrested</t>
  </si>
  <si>
    <t>Crew change</t>
  </si>
  <si>
    <t>Cruising</t>
  </si>
  <si>
    <t>Diving</t>
  </si>
  <si>
    <t>For Orders</t>
  </si>
  <si>
    <t>Force Majeure</t>
  </si>
  <si>
    <t>Lay Up</t>
  </si>
  <si>
    <t>Lifting</t>
  </si>
  <si>
    <t>Medical Assistance</t>
  </si>
  <si>
    <t>Processing Fish</t>
  </si>
  <si>
    <t>Provisioning</t>
  </si>
  <si>
    <t>Repairs</t>
  </si>
  <si>
    <t>Research</t>
  </si>
  <si>
    <t>Seismic Activity</t>
  </si>
  <si>
    <t>Ship To Ship Operations</t>
  </si>
  <si>
    <t>Stand By</t>
  </si>
  <si>
    <t>Testing</t>
  </si>
  <si>
    <t>Towing</t>
  </si>
  <si>
    <t>Underwater Work</t>
  </si>
  <si>
    <t>Weather Restrictions</t>
  </si>
  <si>
    <t>Wrecked Ship</t>
  </si>
  <si>
    <t>DG Classification</t>
  </si>
  <si>
    <t>MARPOL_ANNEX_1</t>
  </si>
  <si>
    <t>Name</t>
  </si>
  <si>
    <t>Flag state</t>
  </si>
  <si>
    <t>ETD from last port</t>
  </si>
  <si>
    <t>Position in port of call</t>
  </si>
  <si>
    <t>ETA to next port</t>
  </si>
  <si>
    <t>ETA to port of call</t>
  </si>
  <si>
    <t>Brief cargo description</t>
  </si>
  <si>
    <t>Gross tonnage</t>
  </si>
  <si>
    <t>Ship type</t>
  </si>
  <si>
    <t>Issue date</t>
  </si>
  <si>
    <t>Certificate number</t>
  </si>
  <si>
    <t>ETD from port of call</t>
  </si>
  <si>
    <t>Anchorage</t>
  </si>
  <si>
    <t>Waste delivery status</t>
  </si>
  <si>
    <t>Last port delivered date</t>
  </si>
  <si>
    <t>Current security level</t>
  </si>
  <si>
    <t>Phone</t>
  </si>
  <si>
    <t>Fax</t>
  </si>
  <si>
    <t>Issuer type</t>
  </si>
  <si>
    <t>First name</t>
  </si>
  <si>
    <t>Last name</t>
  </si>
  <si>
    <t>Location name</t>
  </si>
  <si>
    <t>Flash point</t>
  </si>
  <si>
    <t>Marpol code</t>
  </si>
  <si>
    <t>Total packages</t>
  </si>
  <si>
    <t>Additional info</t>
  </si>
  <si>
    <t>EMS number</t>
  </si>
  <si>
    <t>INF ship class</t>
  </si>
  <si>
    <t>Waste</t>
  </si>
  <si>
    <t>Security</t>
  </si>
  <si>
    <t>On/Off</t>
  </si>
  <si>
    <t>On</t>
  </si>
  <si>
    <t>Off</t>
  </si>
  <si>
    <t>M3</t>
  </si>
  <si>
    <t>KG</t>
  </si>
  <si>
    <t>GVT</t>
  </si>
  <si>
    <t>RSO</t>
  </si>
  <si>
    <t>Security levels</t>
  </si>
  <si>
    <t>Yes/no</t>
  </si>
  <si>
    <t>Yes</t>
  </si>
  <si>
    <t>No</t>
  </si>
  <si>
    <t>INF Ship Classes</t>
  </si>
  <si>
    <t>Class 1</t>
  </si>
  <si>
    <t>Subclass 1.1</t>
  </si>
  <si>
    <t>Subclass 1.2</t>
  </si>
  <si>
    <t>Subclass 1.3</t>
  </si>
  <si>
    <t>Subclass 1.4</t>
  </si>
  <si>
    <t>Subclass 1.5</t>
  </si>
  <si>
    <t>Subclass 1.6</t>
  </si>
  <si>
    <t>Class 2</t>
  </si>
  <si>
    <t>Subclass 2.1</t>
  </si>
  <si>
    <t>Subclass 2.2</t>
  </si>
  <si>
    <t>Subclass 2.3</t>
  </si>
  <si>
    <t>Class 3</t>
  </si>
  <si>
    <t>Class 4</t>
  </si>
  <si>
    <t>Subclass 4.1</t>
  </si>
  <si>
    <t>Subclass 4.2</t>
  </si>
  <si>
    <t>Subclass 4.3</t>
  </si>
  <si>
    <t>Class 5</t>
  </si>
  <si>
    <t>Subclass 5.1</t>
  </si>
  <si>
    <t>Subclass 5.2</t>
  </si>
  <si>
    <t>Class 6</t>
  </si>
  <si>
    <t>Subclass 6.1</t>
  </si>
  <si>
    <t>Subclass 6.2</t>
  </si>
  <si>
    <t>Class 8</t>
  </si>
  <si>
    <t>Class 9</t>
  </si>
  <si>
    <t>IMO Hazard Class</t>
  </si>
  <si>
    <t>Packing Group</t>
  </si>
  <si>
    <t>I</t>
  </si>
  <si>
    <t>II</t>
  </si>
  <si>
    <t>III</t>
  </si>
  <si>
    <t>NONE</t>
  </si>
  <si>
    <t>Aerosol</t>
  </si>
  <si>
    <t>AE</t>
  </si>
  <si>
    <t>Ampoule, non-protected</t>
  </si>
  <si>
    <t>Ampoule, protected</t>
  </si>
  <si>
    <t>AP</t>
  </si>
  <si>
    <t>Atomizer</t>
  </si>
  <si>
    <t>AT</t>
  </si>
  <si>
    <t>Barrel</t>
  </si>
  <si>
    <t>BA</t>
  </si>
  <si>
    <t>Bobbin</t>
  </si>
  <si>
    <t>BB</t>
  </si>
  <si>
    <t>Bottlecrate, bottlerack</t>
  </si>
  <si>
    <t>BC</t>
  </si>
  <si>
    <t>Board</t>
  </si>
  <si>
    <t>BD</t>
  </si>
  <si>
    <t>Bundle</t>
  </si>
  <si>
    <t>BE</t>
  </si>
  <si>
    <t>Balloon, non-protected</t>
  </si>
  <si>
    <t>BF</t>
  </si>
  <si>
    <t>Bag</t>
  </si>
  <si>
    <t>BG</t>
  </si>
  <si>
    <t>Bunch</t>
  </si>
  <si>
    <t>BH</t>
  </si>
  <si>
    <t>Bin</t>
  </si>
  <si>
    <t>BI</t>
  </si>
  <si>
    <t>Bucket</t>
  </si>
  <si>
    <t>BJ</t>
  </si>
  <si>
    <t>Basket</t>
  </si>
  <si>
    <t>BK</t>
  </si>
  <si>
    <t>Bale, compressed</t>
  </si>
  <si>
    <t>BL</t>
  </si>
  <si>
    <t>Bale, non-compressed</t>
  </si>
  <si>
    <t>BN</t>
  </si>
  <si>
    <t>Bottle, non-protected, cylindrical</t>
  </si>
  <si>
    <t>BO</t>
  </si>
  <si>
    <t>Balloon, protected</t>
  </si>
  <si>
    <t>BP</t>
  </si>
  <si>
    <t>Bottle, protected cylindrical</t>
  </si>
  <si>
    <t>BQ</t>
  </si>
  <si>
    <t>Bar</t>
  </si>
  <si>
    <t>BR</t>
  </si>
  <si>
    <t>Bottle, non-protected, bulbous</t>
  </si>
  <si>
    <t>BS</t>
  </si>
  <si>
    <t>Bolt</t>
  </si>
  <si>
    <t>BT</t>
  </si>
  <si>
    <t>Butt</t>
  </si>
  <si>
    <t>BU</t>
  </si>
  <si>
    <t>Bottle, protected bulbous</t>
  </si>
  <si>
    <t>BV</t>
  </si>
  <si>
    <t>Box</t>
  </si>
  <si>
    <t>BX</t>
  </si>
  <si>
    <t>Board, in bundle/bunch/truss</t>
  </si>
  <si>
    <t>BY</t>
  </si>
  <si>
    <t>Bars, in bundle/bunch/truss</t>
  </si>
  <si>
    <t>BZ</t>
  </si>
  <si>
    <t>Can, rectangular</t>
  </si>
  <si>
    <t>CA</t>
  </si>
  <si>
    <t>Beer crate</t>
  </si>
  <si>
    <t>CB</t>
  </si>
  <si>
    <t>Churn</t>
  </si>
  <si>
    <t>CC</t>
  </si>
  <si>
    <t>Creel</t>
  </si>
  <si>
    <t>CE</t>
  </si>
  <si>
    <t>Coffer</t>
  </si>
  <si>
    <t>CF</t>
  </si>
  <si>
    <t>Cage</t>
  </si>
  <si>
    <t>CG</t>
  </si>
  <si>
    <t>Chest</t>
  </si>
  <si>
    <t>CH</t>
  </si>
  <si>
    <t>Canister</t>
  </si>
  <si>
    <t>CI</t>
  </si>
  <si>
    <t>Coffin</t>
  </si>
  <si>
    <t>CJ</t>
  </si>
  <si>
    <t>Cask</t>
  </si>
  <si>
    <t>CK</t>
  </si>
  <si>
    <t>Coil</t>
  </si>
  <si>
    <t>CL</t>
  </si>
  <si>
    <t>Carboy, non-protected</t>
  </si>
  <si>
    <t>CO</t>
  </si>
  <si>
    <t>Carboy, protected</t>
  </si>
  <si>
    <t>CP</t>
  </si>
  <si>
    <t>Crate</t>
  </si>
  <si>
    <t>CR</t>
  </si>
  <si>
    <t>Case</t>
  </si>
  <si>
    <t>CS</t>
  </si>
  <si>
    <t>Carton</t>
  </si>
  <si>
    <t>CT</t>
  </si>
  <si>
    <t>Cup</t>
  </si>
  <si>
    <t>CU</t>
  </si>
  <si>
    <t>Cover</t>
  </si>
  <si>
    <t>CV</t>
  </si>
  <si>
    <t>Can, cylindrical</t>
  </si>
  <si>
    <t>CX</t>
  </si>
  <si>
    <t>Cylinder</t>
  </si>
  <si>
    <t>CY</t>
  </si>
  <si>
    <t>Canvas</t>
  </si>
  <si>
    <t>CZ</t>
  </si>
  <si>
    <t>Demijohn, non-protected</t>
  </si>
  <si>
    <t>DJ</t>
  </si>
  <si>
    <t>Demijohn, protected</t>
  </si>
  <si>
    <t>DP</t>
  </si>
  <si>
    <t>Drum</t>
  </si>
  <si>
    <t>DR</t>
  </si>
  <si>
    <t>Envelope</t>
  </si>
  <si>
    <t>EN</t>
  </si>
  <si>
    <t>Fruit crate</t>
  </si>
  <si>
    <t>FC</t>
  </si>
  <si>
    <t>Framed crate</t>
  </si>
  <si>
    <t>FD</t>
  </si>
  <si>
    <t>Firkin</t>
  </si>
  <si>
    <t>FI</t>
  </si>
  <si>
    <t>Flask</t>
  </si>
  <si>
    <t>FL</t>
  </si>
  <si>
    <t>Footlocker</t>
  </si>
  <si>
    <t>FO</t>
  </si>
  <si>
    <t>Filmpack</t>
  </si>
  <si>
    <t>FP</t>
  </si>
  <si>
    <t>Frame</t>
  </si>
  <si>
    <t>FR</t>
  </si>
  <si>
    <t>Gas bottle</t>
  </si>
  <si>
    <t>GB</t>
  </si>
  <si>
    <t>Girder</t>
  </si>
  <si>
    <t>GI</t>
  </si>
  <si>
    <t>Girders, in bundle/bunch/truss</t>
  </si>
  <si>
    <t>GZ</t>
  </si>
  <si>
    <t>Hogshead</t>
  </si>
  <si>
    <t>HG</t>
  </si>
  <si>
    <t>Hamper</t>
  </si>
  <si>
    <t>HR</t>
  </si>
  <si>
    <t>Ingot</t>
  </si>
  <si>
    <t>IN</t>
  </si>
  <si>
    <t>Ingots, in bundle/bunch/truss</t>
  </si>
  <si>
    <t>IZ</t>
  </si>
  <si>
    <t>Jerrican, rectangular</t>
  </si>
  <si>
    <t>JC</t>
  </si>
  <si>
    <t>Jug</t>
  </si>
  <si>
    <t>JG</t>
  </si>
  <si>
    <t>Jar</t>
  </si>
  <si>
    <t>JR</t>
  </si>
  <si>
    <t>Jutebag</t>
  </si>
  <si>
    <t>JT</t>
  </si>
  <si>
    <t>Jerrican, cylindrical</t>
  </si>
  <si>
    <t>JY</t>
  </si>
  <si>
    <t>Keg</t>
  </si>
  <si>
    <t>Log</t>
  </si>
  <si>
    <t>LG</t>
  </si>
  <si>
    <t>Logs, in bundle/bunch/truss</t>
  </si>
  <si>
    <t>LZ</t>
  </si>
  <si>
    <t>Multiply bag</t>
  </si>
  <si>
    <t>MB</t>
  </si>
  <si>
    <t>Milk crate</t>
  </si>
  <si>
    <t>MC</t>
  </si>
  <si>
    <t>Multiwall sack</t>
  </si>
  <si>
    <t>MS</t>
  </si>
  <si>
    <t>Mat</t>
  </si>
  <si>
    <t>MT</t>
  </si>
  <si>
    <t>Match box</t>
  </si>
  <si>
    <t>MX</t>
  </si>
  <si>
    <t>Unpacked or unpackaged</t>
  </si>
  <si>
    <t>NE</t>
  </si>
  <si>
    <t>Nest</t>
  </si>
  <si>
    <t>NS</t>
  </si>
  <si>
    <t>Net</t>
  </si>
  <si>
    <t>NT</t>
  </si>
  <si>
    <t>Packet</t>
  </si>
  <si>
    <t>PA</t>
  </si>
  <si>
    <t>Parcel</t>
  </si>
  <si>
    <t>PC</t>
  </si>
  <si>
    <t>Plate</t>
  </si>
  <si>
    <t>PG</t>
  </si>
  <si>
    <t>Pitcher</t>
  </si>
  <si>
    <t>PH</t>
  </si>
  <si>
    <t>Pipe</t>
  </si>
  <si>
    <t>PI</t>
  </si>
  <si>
    <t>Package</t>
  </si>
  <si>
    <t>PK</t>
  </si>
  <si>
    <t>Pail</t>
  </si>
  <si>
    <t>PL</t>
  </si>
  <si>
    <t>Plank</t>
  </si>
  <si>
    <t>PN</t>
  </si>
  <si>
    <t>Pouch</t>
  </si>
  <si>
    <t>PO</t>
  </si>
  <si>
    <t>Pot</t>
  </si>
  <si>
    <t>PT</t>
  </si>
  <si>
    <t>Tray pack</t>
  </si>
  <si>
    <t>PU</t>
  </si>
  <si>
    <t>Tray</t>
  </si>
  <si>
    <t>Plates, in bundle/bunch/truss</t>
  </si>
  <si>
    <t>PY</t>
  </si>
  <si>
    <t>Planks, in bundle/bunch/truss</t>
  </si>
  <si>
    <t>PZ</t>
  </si>
  <si>
    <t>Pipes, in bundle/bunch/truss</t>
  </si>
  <si>
    <t>Rod</t>
  </si>
  <si>
    <t>RD</t>
  </si>
  <si>
    <t>Ring</t>
  </si>
  <si>
    <t>RG</t>
  </si>
  <si>
    <t>Reel</t>
  </si>
  <si>
    <t>RL</t>
  </si>
  <si>
    <t>Roll</t>
  </si>
  <si>
    <t>RO</t>
  </si>
  <si>
    <t>Rednet</t>
  </si>
  <si>
    <t>RT</t>
  </si>
  <si>
    <t>Rods, in bundle/bunch/truss</t>
  </si>
  <si>
    <t>RZ</t>
  </si>
  <si>
    <t>Sack</t>
  </si>
  <si>
    <t>SA</t>
  </si>
  <si>
    <t>Shallow crate</t>
  </si>
  <si>
    <t>SC</t>
  </si>
  <si>
    <t>Spindle</t>
  </si>
  <si>
    <t>SD</t>
  </si>
  <si>
    <t>Sea-chest</t>
  </si>
  <si>
    <t>SE</t>
  </si>
  <si>
    <t>Sachet</t>
  </si>
  <si>
    <t>SH</t>
  </si>
  <si>
    <t>Skeleton case</t>
  </si>
  <si>
    <t>SK</t>
  </si>
  <si>
    <t>Slipsheet</t>
  </si>
  <si>
    <t>SL</t>
  </si>
  <si>
    <t>Sheetmetal</t>
  </si>
  <si>
    <t>SM</t>
  </si>
  <si>
    <t>Sheet</t>
  </si>
  <si>
    <t>ST</t>
  </si>
  <si>
    <t>Suitcase</t>
  </si>
  <si>
    <t>SU</t>
  </si>
  <si>
    <t>Shrinkwrapped</t>
  </si>
  <si>
    <t>SW</t>
  </si>
  <si>
    <t>Sheets, in bundle/bunch/truss</t>
  </si>
  <si>
    <t>SZ</t>
  </si>
  <si>
    <t>Tub</t>
  </si>
  <si>
    <t>TB</t>
  </si>
  <si>
    <t>Tea-chest</t>
  </si>
  <si>
    <t>TC</t>
  </si>
  <si>
    <t>Tube, collapsible</t>
  </si>
  <si>
    <t>TD</t>
  </si>
  <si>
    <t>Collapsible tube</t>
  </si>
  <si>
    <t>Tank, rectangular</t>
  </si>
  <si>
    <t>TK</t>
  </si>
  <si>
    <t>Tin</t>
  </si>
  <si>
    <t>TN</t>
  </si>
  <si>
    <t>Tun</t>
  </si>
  <si>
    <t>TO</t>
  </si>
  <si>
    <t>Trunk</t>
  </si>
  <si>
    <t>TR</t>
  </si>
  <si>
    <t>Truss</t>
  </si>
  <si>
    <t>TS</t>
  </si>
  <si>
    <t>Tube</t>
  </si>
  <si>
    <t>TU</t>
  </si>
  <si>
    <t>Tank, cylindrical</t>
  </si>
  <si>
    <t>TY</t>
  </si>
  <si>
    <t>Tubes, in bundle/bunch/truss</t>
  </si>
  <si>
    <t>TZ</t>
  </si>
  <si>
    <t>Vat</t>
  </si>
  <si>
    <t>VA</t>
  </si>
  <si>
    <t>Bulk, gas (at 1031 mbar and 15°C)</t>
  </si>
  <si>
    <t>VG</t>
  </si>
  <si>
    <t>Vial</t>
  </si>
  <si>
    <t>VI</t>
  </si>
  <si>
    <t>Bulk, liquid</t>
  </si>
  <si>
    <t>VL</t>
  </si>
  <si>
    <t>Bulk, solid, large particles (“nodules”)</t>
  </si>
  <si>
    <t>VO</t>
  </si>
  <si>
    <t>Vacuum-packed</t>
  </si>
  <si>
    <t>VP</t>
  </si>
  <si>
    <t>Bulk, liquefied gas (at abnormal temperature/pressure)</t>
  </si>
  <si>
    <t>VQ</t>
  </si>
  <si>
    <t>Bulk, solid, granular particles (“grains”)</t>
  </si>
  <si>
    <t>VR</t>
  </si>
  <si>
    <t>Bulk, solid, fine particles (“powders”)</t>
  </si>
  <si>
    <t>VY</t>
  </si>
  <si>
    <t>Wickerbottle</t>
  </si>
  <si>
    <t>WB</t>
  </si>
  <si>
    <t>Package type name</t>
  </si>
  <si>
    <t>Package type code</t>
  </si>
  <si>
    <t>Package code</t>
  </si>
  <si>
    <t>X</t>
  </si>
  <si>
    <t>Y</t>
  </si>
  <si>
    <t>Z</t>
  </si>
  <si>
    <t>OS</t>
  </si>
  <si>
    <t>UNKNOWN</t>
  </si>
  <si>
    <t>MARPOL Codes</t>
  </si>
  <si>
    <t>SHT</t>
  </si>
  <si>
    <t>SHT-SBT</t>
  </si>
  <si>
    <t>DHT</t>
  </si>
  <si>
    <t>Ship Configurations</t>
  </si>
  <si>
    <t>General cargo vessel</t>
  </si>
  <si>
    <t>Vessel designed to carry general cargo.</t>
  </si>
  <si>
    <t>Grain vessel</t>
  </si>
  <si>
    <t>Vessel designed to carry grain.</t>
  </si>
  <si>
    <t>Vessel designed to carry logs and timber.</t>
  </si>
  <si>
    <t>Wood chips vessel</t>
  </si>
  <si>
    <t>Vessel designed to carry wood chips.</t>
  </si>
  <si>
    <t>Steel products vessel</t>
  </si>
  <si>
    <t>Vessel designed to carry steel products.</t>
  </si>
  <si>
    <t>Carrier, general cargo/container</t>
  </si>
  <si>
    <t>Vessel designed to carry general cargo and containers.</t>
  </si>
  <si>
    <t>Temperature controlled cargo vessels</t>
  </si>
  <si>
    <t>Vessel designed to carry temperature-controlled cargo.</t>
  </si>
  <si>
    <t>Unit carrier</t>
  </si>
  <si>
    <t>Vessel designed to carry unit loads</t>
  </si>
  <si>
    <t>Full container ship/cellular vessel</t>
  </si>
  <si>
    <t>Vessel designed to carry containers only.</t>
  </si>
  <si>
    <t>RoRo vessel</t>
  </si>
  <si>
    <t>Vessel with ramp designed to carry roll-on/roll-off cargo.</t>
  </si>
  <si>
    <t>Car carrier</t>
  </si>
  <si>
    <t>Vessel designed to carry automotive vehicles or their knock-down parts.</t>
  </si>
  <si>
    <t>Livestock carrier</t>
  </si>
  <si>
    <t>Vessel designed to carry livestock.</t>
  </si>
  <si>
    <t>Barge carrier – Lash ship</t>
  </si>
  <si>
    <t>Vessel designed to carry barges. Lash means lighters aboard ship.</t>
  </si>
  <si>
    <t>Chemical carrier</t>
  </si>
  <si>
    <t>Vessel designed to carry chemicals in bulk or drums not in tanks.</t>
  </si>
  <si>
    <t>Irradiated fuel carrier</t>
  </si>
  <si>
    <t>Vessel designed to carry irradiated fuel.</t>
  </si>
  <si>
    <t>Heavy cargo vessel</t>
  </si>
  <si>
    <t>Ship designed to carry heavy cargo.</t>
  </si>
  <si>
    <t>RoRo/Container vessel</t>
  </si>
  <si>
    <t>Vessel designed to carry both containers and roll-on/roll-off cargo.</t>
  </si>
  <si>
    <t>Bulk carrier</t>
  </si>
  <si>
    <t>Vessel designed to carry bulk cargo.</t>
  </si>
  <si>
    <t>Dry bulk carrier</t>
  </si>
  <si>
    <t>Vessel designed to carry dry bulk (expellers)</t>
  </si>
  <si>
    <t>Ore carrier</t>
  </si>
  <si>
    <t>Vessel designed to carry ore.</t>
  </si>
  <si>
    <t>Cement carrier</t>
  </si>
  <si>
    <t>Vessel designed to carry cement.</t>
  </si>
  <si>
    <t>Gravel carrier</t>
  </si>
  <si>
    <t>Vessel designed to carry gravel.</t>
  </si>
  <si>
    <t>Coal carrier</t>
  </si>
  <si>
    <t>Vessel designed to carry coal.</t>
  </si>
  <si>
    <t>Tanker</t>
  </si>
  <si>
    <t>Vessel solely equipped with tanks to carry cargo.</t>
  </si>
  <si>
    <t>Crude oil tanker</t>
  </si>
  <si>
    <t>Tanker designed to carry crude oil.</t>
  </si>
  <si>
    <t>Chemical tanker, coaster</t>
  </si>
  <si>
    <t>Tanker designed to carry chemicals in coastal traffic.</t>
  </si>
  <si>
    <t>Chemical tanker, deep sea</t>
  </si>
  <si>
    <t>Tanker designed to carry chemicals in deep sea.</t>
  </si>
  <si>
    <t>Oil and other derivatives tanker</t>
  </si>
  <si>
    <t>Tanker designed to carry oil and other derivatives.</t>
  </si>
  <si>
    <t>Liquefied gas tanker</t>
  </si>
  <si>
    <t>Tanker designed to carry liquefied gas.</t>
  </si>
  <si>
    <t>LPG tanker</t>
  </si>
  <si>
    <t>Vessel designed to carry Liquefied Petroleum Gas (LPG).</t>
  </si>
  <si>
    <t>LNG tanker</t>
  </si>
  <si>
    <t>Tanker designed to carry Liquefied Natural Gas (LNG).</t>
  </si>
  <si>
    <t>LNG/LPG tanker</t>
  </si>
  <si>
    <t>Other special tanker</t>
  </si>
  <si>
    <t>Tanker designed to carry other special liquids.</t>
  </si>
  <si>
    <t>Asphalt/bitumen tanker</t>
  </si>
  <si>
    <t>Tanker designed asphalt and bitumen.</t>
  </si>
  <si>
    <t>Molasses tanker</t>
  </si>
  <si>
    <t>Tanker designed to carry molasses.</t>
  </si>
  <si>
    <t>Vegetable oil tanker</t>
  </si>
  <si>
    <t>Tanker designed to carry vegetable oil.</t>
  </si>
  <si>
    <t>Cargo and passenger vessel</t>
  </si>
  <si>
    <t>Vessel designed to carry cargo and passengers.</t>
  </si>
  <si>
    <t>Passenger ship</t>
  </si>
  <si>
    <t>Vessel designed to carry more than 12 passengers.</t>
  </si>
  <si>
    <t>Cruise ship</t>
  </si>
  <si>
    <t>Passenger ship designed to carry tourists on specified routes.</t>
  </si>
  <si>
    <t>Ferry</t>
  </si>
  <si>
    <t>Vessel designed to ply regularly between two or more ports.</t>
  </si>
  <si>
    <t>Other passenger ship</t>
  </si>
  <si>
    <t>Vessel designed to carry passengers, not otherwise specified.</t>
  </si>
  <si>
    <t>Passenger ship, sailing</t>
  </si>
  <si>
    <t>Vessel designed to carry passengers and mainly propelled by sails.</t>
  </si>
  <si>
    <t>Assistance vessel</t>
  </si>
  <si>
    <t>Vessel designed to give assistance.</t>
  </si>
  <si>
    <t>Tug, without tow</t>
  </si>
  <si>
    <t>Vessel designed to tow objects but sailing alone.</t>
  </si>
  <si>
    <t>Tug, with tow</t>
  </si>
  <si>
    <t>Vessel designed to tow, and towing an object.</t>
  </si>
  <si>
    <t>Salvage vessel</t>
  </si>
  <si>
    <t>Vessel designed to salvage.</t>
  </si>
  <si>
    <t>Rescue vessel</t>
  </si>
  <si>
    <t>Vessel designed to effect rescue operations.</t>
  </si>
  <si>
    <t>Oil combat vessel</t>
  </si>
  <si>
    <t>Vessel designed to combat oil spills.</t>
  </si>
  <si>
    <t>Oil rig</t>
  </si>
  <si>
    <t>Object designed for drilling oil at sea.</t>
  </si>
  <si>
    <t>Hospital vessel</t>
  </si>
  <si>
    <t>Vessel designed to serve as a hospital at sea.</t>
  </si>
  <si>
    <t>Other sea-going vessel</t>
  </si>
  <si>
    <t>Sea-going vessel, not otherwise specified.</t>
  </si>
  <si>
    <t>Pilot boat</t>
  </si>
  <si>
    <t>Vessel designed to convey pilots to/from ships.</t>
  </si>
  <si>
    <t>Patrol/measure ship</t>
  </si>
  <si>
    <t>Vessel designed to guard, patrol or measure.</t>
  </si>
  <si>
    <t>Work ship</t>
  </si>
  <si>
    <t>Vessel designed to assist in work.</t>
  </si>
  <si>
    <t>Supply vessel</t>
  </si>
  <si>
    <t>Vessel designed to provide supplies.</t>
  </si>
  <si>
    <t>Offshore support vessel</t>
  </si>
  <si>
    <t>Vessel designed to provide offshore support.</t>
  </si>
  <si>
    <t>Pontoon</t>
  </si>
  <si>
    <t>Flat-bottomed vessel with a flat deck.</t>
  </si>
  <si>
    <t>Stone dumping vessel</t>
  </si>
  <si>
    <t>Vessel designed to dump stones.</t>
  </si>
  <si>
    <t>Cable layer</t>
  </si>
  <si>
    <t>Vessel designed to lay cable.</t>
  </si>
  <si>
    <t>Buoyage vessel</t>
  </si>
  <si>
    <t>Vessel designed to handle buoys.</t>
  </si>
  <si>
    <t>Icebreaker</t>
  </si>
  <si>
    <t>Vessel designed to break ice.</t>
  </si>
  <si>
    <t>Pipelaying vessel</t>
  </si>
  <si>
    <t>Vessel designed to lay pipe.</t>
  </si>
  <si>
    <t>Push boat</t>
  </si>
  <si>
    <t>Vessel designed to push other vessels.</t>
  </si>
  <si>
    <t>Dredger</t>
  </si>
  <si>
    <t>Vessel designed to scoop or suck mud or sand.</t>
  </si>
  <si>
    <t>Fishing boat</t>
  </si>
  <si>
    <t>Vessel designed for fishing.</t>
  </si>
  <si>
    <t>Trawler</t>
  </si>
  <si>
    <t>Vessel designed to drag a bag-like net.</t>
  </si>
  <si>
    <t>Cutter</t>
  </si>
  <si>
    <t>Small vessel that sometimes can be carried on a larger ship.</t>
  </si>
  <si>
    <t>Factory ship</t>
  </si>
  <si>
    <t>Vessel designed as a fish factory.</t>
  </si>
  <si>
    <t>Research and education ship</t>
  </si>
  <si>
    <t>Vessel designed for research and education.</t>
  </si>
  <si>
    <t>Fishery research vessel</t>
  </si>
  <si>
    <t>Vessel designed for fishery research.</t>
  </si>
  <si>
    <t>Climate registration vessel</t>
  </si>
  <si>
    <t>Vessel designed for climate registration.</t>
  </si>
  <si>
    <t>Ship for environmental measurement</t>
  </si>
  <si>
    <t>Vessel designed for environmental monitoring and measurement.</t>
  </si>
  <si>
    <t>Scientific vessel</t>
  </si>
  <si>
    <t>Vessel designed for scientific purposes.</t>
  </si>
  <si>
    <t>Sailing school ship</t>
  </si>
  <si>
    <t>Vessel designed for training, powered by sail.</t>
  </si>
  <si>
    <t>Training vessel</t>
  </si>
  <si>
    <t>Vessel designed for training.</t>
  </si>
  <si>
    <t>Navy vessel</t>
  </si>
  <si>
    <t>Vessel operated by a Navy.</t>
  </si>
  <si>
    <t>Structure, floating</t>
  </si>
  <si>
    <t>Any floating structure.</t>
  </si>
  <si>
    <t>Crane, floating</t>
  </si>
  <si>
    <t>A crane mounted on a barge or pontoon.</t>
  </si>
  <si>
    <t>Dock, floating</t>
  </si>
  <si>
    <t>A submersible floating structure used as a dock.</t>
  </si>
  <si>
    <t>Pleasure boat</t>
  </si>
  <si>
    <t>Vessel designed for recreation.</t>
  </si>
  <si>
    <t>Speedboat</t>
  </si>
  <si>
    <t>Vessel designed for speed, often used for recreation.</t>
  </si>
  <si>
    <t>Sailing boat with auxiliary motor</t>
  </si>
  <si>
    <t>Vessel designed primarily for sailing outfitted with an auxiliary motor.</t>
  </si>
  <si>
    <t>Sailing yacht</t>
  </si>
  <si>
    <t>A specific type of vessel mostly used for pleasure and designed for sailing.</t>
  </si>
  <si>
    <t>Boat for sport fishing</t>
  </si>
  <si>
    <t>Vessel designed for sport fishing.</t>
  </si>
  <si>
    <t>Craft, pleasure, longer than 20 metres</t>
  </si>
  <si>
    <t>Vessel longer than 20 metres, designed for recreation.</t>
  </si>
  <si>
    <t>Craft, other, recreational</t>
  </si>
  <si>
    <t>Vessel designed for recreation, not otherwise specified.</t>
  </si>
  <si>
    <t>Fast ship</t>
  </si>
  <si>
    <t>Fast, all-purpose vessel.</t>
  </si>
  <si>
    <t>Hydrofoil</t>
  </si>
  <si>
    <t>Vessel with wing-like structure for skimming at high speed.</t>
  </si>
  <si>
    <t>Catamaran, fast</t>
  </si>
  <si>
    <t>Fast vessel designed with two parallel hulls</t>
  </si>
  <si>
    <t>Timber/log carrier</t>
  </si>
  <si>
    <t>Tanker designed to carry Liquefied Natural Gas (LNG) and Liquefied Petroleum Gas (LPG).</t>
  </si>
  <si>
    <t>Description</t>
  </si>
  <si>
    <t>To Port of Call</t>
  </si>
  <si>
    <t>From Port of Call</t>
  </si>
  <si>
    <t>Hazmat types</t>
  </si>
  <si>
    <t>ISSC type</t>
  </si>
  <si>
    <t>ALL</t>
  </si>
  <si>
    <t>SOME</t>
  </si>
  <si>
    <t>Units</t>
  </si>
  <si>
    <t>TNE</t>
  </si>
  <si>
    <t>Minimum date</t>
  </si>
  <si>
    <t>Maximum date</t>
  </si>
  <si>
    <t>Outgoing Hazmat</t>
  </si>
  <si>
    <t>Incoming Hazmat</t>
  </si>
  <si>
    <t>Waste oils</t>
  </si>
  <si>
    <t>Garbage</t>
  </si>
  <si>
    <t>Sewage</t>
  </si>
  <si>
    <t>Cargo Residues</t>
  </si>
  <si>
    <t>Food waste</t>
  </si>
  <si>
    <t>Plastic (except: cargo residues)</t>
  </si>
  <si>
    <t>Dunnage, lining or packing material</t>
  </si>
  <si>
    <t>Oily tank washings</t>
  </si>
  <si>
    <t>Used engine oil</t>
  </si>
  <si>
    <t>International catering waste</t>
  </si>
  <si>
    <t>Oily (dirty) ballast water</t>
  </si>
  <si>
    <t>Paper products</t>
  </si>
  <si>
    <t>Scale and sludge from tank cleaning</t>
  </si>
  <si>
    <t>Rags</t>
  </si>
  <si>
    <t>Glass</t>
  </si>
  <si>
    <t>Washing waters containing noxious cargo residues: specify in free text field using MARPOL Annex II category X, Y, Z, OS:</t>
  </si>
  <si>
    <t>Metal</t>
  </si>
  <si>
    <t>Ballast water containing noxious cargo residues: specify in free text field using MARPOL Annex II category X, Y, Z, OS:</t>
  </si>
  <si>
    <t>Bottles</t>
  </si>
  <si>
    <t>Crockery</t>
  </si>
  <si>
    <t>Cargo hold washing water containing residues and or cleaning agents or additives harmful to the marine environment: specify in free text field</t>
  </si>
  <si>
    <t>Incinerator ashes and clinkers</t>
  </si>
  <si>
    <t>Cargo hold washing water containing residues and or cleaning agents or additives NOT harmful to the marine environment: specify in free text field</t>
  </si>
  <si>
    <t>Animal carcasses</t>
  </si>
  <si>
    <t>Dry cargo residues harmful to the marine environment: specify in free text field</t>
  </si>
  <si>
    <t>Dry cargo residues NOT harmful to the marine environment: specify in free text field</t>
  </si>
  <si>
    <t>Cooking oil</t>
  </si>
  <si>
    <t>Deck and external surfaces wash water containing cleaning agents or additives harmful to the marine environment</t>
  </si>
  <si>
    <t>Full (ISSC)</t>
  </si>
  <si>
    <t>Interim (IISSC)</t>
  </si>
  <si>
    <t>Doctype</t>
  </si>
  <si>
    <t>UN Number</t>
  </si>
  <si>
    <t>Transport document ID</t>
  </si>
  <si>
    <t>Waste categories</t>
  </si>
  <si>
    <t>Waste_oils</t>
  </si>
  <si>
    <t>Cargo_associated_waste</t>
  </si>
  <si>
    <t>Cargo_residues</t>
  </si>
  <si>
    <t>Waste type</t>
  </si>
  <si>
    <t>Waste code</t>
  </si>
  <si>
    <t>Total (maximum 9)</t>
  </si>
  <si>
    <t>Inmarsat Call numbers</t>
  </si>
  <si>
    <t>Document version</t>
  </si>
  <si>
    <t>Inmarsat Call number 1</t>
  </si>
  <si>
    <t>Inmarsat Call number 2</t>
  </si>
  <si>
    <t>Inmarsat Call number 3</t>
  </si>
  <si>
    <t>Inmarsat Call number 4</t>
  </si>
  <si>
    <t>Inmarsat Call number 5</t>
  </si>
  <si>
    <t>Cargo Associated Waste</t>
  </si>
  <si>
    <t>Package count</t>
  </si>
  <si>
    <t>Ship type code</t>
  </si>
  <si>
    <t>Cargo operations</t>
  </si>
  <si>
    <t>Discharging and/or loading of cargo.</t>
  </si>
  <si>
    <t>Passenger movement</t>
  </si>
  <si>
    <t>Embarking and/or disembarking of passengers.</t>
  </si>
  <si>
    <t>Taking bunkers</t>
  </si>
  <si>
    <t>Taking bunker (refuelling).</t>
  </si>
  <si>
    <t>Changing crew</t>
  </si>
  <si>
    <t>Changing crew member(s).</t>
  </si>
  <si>
    <t>Goodwill visit</t>
  </si>
  <si>
    <t>Friendly visit.</t>
  </si>
  <si>
    <t>Taking supplies</t>
  </si>
  <si>
    <t>Taking supplies.</t>
  </si>
  <si>
    <t>Repair</t>
  </si>
  <si>
    <t>To effect repair.</t>
  </si>
  <si>
    <t>Laid-up</t>
  </si>
  <si>
    <t>Inactive service.</t>
  </si>
  <si>
    <t>Awaiting orders</t>
  </si>
  <si>
    <t>Awaiting job order.</t>
  </si>
  <si>
    <t>Miscellaneous</t>
  </si>
  <si>
    <t>Miscellaneous purpose of call.</t>
  </si>
  <si>
    <t>Crew movement</t>
  </si>
  <si>
    <t>Embarking and/or disembarking of crews.</t>
  </si>
  <si>
    <t>Cruise, leisure and recreation</t>
  </si>
  <si>
    <t>To visit a port for cruise, leisure and recreation.</t>
  </si>
  <si>
    <t>Under government order</t>
  </si>
  <si>
    <t>This is a visit to a port which has been ordered by government.</t>
  </si>
  <si>
    <t>Quarantine inspection</t>
  </si>
  <si>
    <t>To have a quarantine inspection.</t>
  </si>
  <si>
    <t>Refuge</t>
  </si>
  <si>
    <t>To seek protection against something unpleasant and/or threatening such as bad weather or danger.</t>
  </si>
  <si>
    <t>Activity</t>
  </si>
  <si>
    <t>ISSC number</t>
  </si>
  <si>
    <t>http://mca-wordpress.ibboost.com</t>
  </si>
  <si>
    <t>Project resources and news updates</t>
  </si>
  <si>
    <t>MCA website</t>
  </si>
  <si>
    <t>https://www.gov.uk/government/organisations/maritime-and-coastguard-agency</t>
  </si>
  <si>
    <t>IB Boost website</t>
  </si>
  <si>
    <t>Is the crew list uploaded (FAL 5)</t>
  </si>
  <si>
    <t>Is the passenger list uploaded (FAL 6)</t>
  </si>
  <si>
    <t>Call sign</t>
  </si>
  <si>
    <t>https://www.ibboost.com</t>
  </si>
  <si>
    <t>USAGE</t>
  </si>
  <si>
    <t>LOCODE</t>
  </si>
  <si>
    <t>BOOLEAN</t>
  </si>
  <si>
    <t>ISSC is valid?</t>
  </si>
  <si>
    <t>Include sections</t>
  </si>
  <si>
    <t>Last updated</t>
  </si>
  <si>
    <t>Source</t>
  </si>
  <si>
    <t>Ship-to-ship No</t>
  </si>
  <si>
    <t>Port call No</t>
  </si>
  <si>
    <t>Recommended: In addition to IMO number, a minimum of either Ship name, Call sign or MMSI Number should be provided.</t>
  </si>
  <si>
    <t>Approved security plan?</t>
  </si>
  <si>
    <t>Note: Did the ship take any special or additional security measures, beyond those in the approved SSP? If yes, indicate the special or additional security measures taken by the ship in this column.</t>
  </si>
  <si>
    <t>Note: List the ship-to-ship activities, in chronological order (most recent first), which have been carried out during the period of the last ten calls at port facilities listed in the table above.</t>
  </si>
  <si>
    <t>Note: Have the ship security procedures specified in the approved SSP been maintained during each of these ship-to-ship activities? If NO, please provide details of the security measures applied in lieu in this column.</t>
  </si>
  <si>
    <r>
      <t xml:space="preserve">This Excel workbook is for use in conjunction with the UK Maritime and Coastguard Agency's Consolidated European Reporting System version 3 (CERS 3) for the submission of SafeSeaNet v3-compliant voyage notifications relating to maritime vessel voyages visiting UK ports. This extended schema includes support for Waste and Security forms in addition to other changes from version 2.
This workbook is designed to be used offline and uploaded into CERS via either the web application interface or via SOAP web services (embedded into the XML message).
</t>
    </r>
    <r>
      <rPr>
        <b/>
        <sz val="10"/>
        <color theme="1" tint="0.14993743705557422"/>
        <rFont val="Arial"/>
        <family val="2"/>
      </rPr>
      <t>IMPORTANT:</t>
    </r>
    <r>
      <rPr>
        <sz val="10"/>
        <color theme="1" tint="0.14993743705557422"/>
        <rFont val="Arial"/>
        <family val="2"/>
      </rPr>
      <t xml:space="preserve"> Please read the full usage instructions at the bottom of this sheet before using this workbook and contact the CERS team using the contact details on the right for any queries.
</t>
    </r>
  </si>
  <si>
    <t>CERS 3: PortPlus Offline Excel Voyage Form</t>
  </si>
  <si>
    <t>cers@mcga.gov.uk</t>
  </si>
  <si>
    <t>Document Template Information</t>
  </si>
  <si>
    <t>Version date</t>
  </si>
  <si>
    <t>Template last edited by</t>
  </si>
  <si>
    <t>IB Boost Ltd</t>
  </si>
  <si>
    <t>NOTES</t>
  </si>
  <si>
    <t>Falmouth</t>
  </si>
  <si>
    <t>Ardrossan</t>
  </si>
  <si>
    <t>Greenock</t>
  </si>
  <si>
    <t>Ipswich</t>
  </si>
  <si>
    <t>Padstow</t>
  </si>
  <si>
    <t>Perth</t>
  </si>
  <si>
    <t>Portland</t>
  </si>
  <si>
    <t>Southampton</t>
  </si>
  <si>
    <t>Chatham</t>
  </si>
  <si>
    <t>Liverpool</t>
  </si>
  <si>
    <t>Weymouth</t>
  </si>
  <si>
    <t>Whitby</t>
  </si>
  <si>
    <t>Belfast</t>
  </si>
  <si>
    <t>Portsmouth</t>
  </si>
  <si>
    <t>GBARC</t>
  </si>
  <si>
    <t>Abercastle</t>
  </si>
  <si>
    <t>GBABD</t>
  </si>
  <si>
    <t>Aberdeen</t>
  </si>
  <si>
    <t>GBAHN</t>
  </si>
  <si>
    <t>GBAMR</t>
  </si>
  <si>
    <t>GBADM</t>
  </si>
  <si>
    <t>GBAMW</t>
  </si>
  <si>
    <t>Amlwch</t>
  </si>
  <si>
    <t>GBAPP</t>
  </si>
  <si>
    <t>Appledore</t>
  </si>
  <si>
    <t>GBAMH</t>
  </si>
  <si>
    <t>Ardmaleish</t>
  </si>
  <si>
    <t>GBGIG</t>
  </si>
  <si>
    <t>Ardminish, Gigha Island</t>
  </si>
  <si>
    <t>GBASG</t>
  </si>
  <si>
    <t>GBARD</t>
  </si>
  <si>
    <t>GBARV</t>
  </si>
  <si>
    <t>GBDYN</t>
  </si>
  <si>
    <t>Ardyne</t>
  </si>
  <si>
    <t>GBAGO</t>
  </si>
  <si>
    <t>GBAMD</t>
  </si>
  <si>
    <t>GBAUL</t>
  </si>
  <si>
    <t>GBAVO</t>
  </si>
  <si>
    <t>Avonmouth</t>
  </si>
  <si>
    <t>GBAYR</t>
  </si>
  <si>
    <t>Ayr</t>
  </si>
  <si>
    <t>GBION</t>
  </si>
  <si>
    <t>GBBLR</t>
  </si>
  <si>
    <t>Ballylumford</t>
  </si>
  <si>
    <t>GBBSN</t>
  </si>
  <si>
    <t>GBBAW</t>
  </si>
  <si>
    <t>GBBAN</t>
  </si>
  <si>
    <t>GBBKG</t>
  </si>
  <si>
    <t>GBBIF</t>
  </si>
  <si>
    <t>Barrow in Furness</t>
  </si>
  <si>
    <t>GBBHR</t>
  </si>
  <si>
    <t>GBBAD</t>
  </si>
  <si>
    <t>GBBMR</t>
  </si>
  <si>
    <t>Beaumaris</t>
  </si>
  <si>
    <t>GBBEL</t>
  </si>
  <si>
    <t>GBBMT</t>
  </si>
  <si>
    <t>GBBWK</t>
  </si>
  <si>
    <t>GBBID</t>
  </si>
  <si>
    <t>Bideford</t>
  </si>
  <si>
    <t>GBBRK</t>
  </si>
  <si>
    <t>Birkenhead</t>
  </si>
  <si>
    <t>GBBLJ</t>
  </si>
  <si>
    <t>Blairmore</t>
  </si>
  <si>
    <t>GBBLY</t>
  </si>
  <si>
    <t>Blyth</t>
  </si>
  <si>
    <t>GBBOS</t>
  </si>
  <si>
    <t>Boston</t>
  </si>
  <si>
    <t>GBBOH</t>
  </si>
  <si>
    <t>Bournemouth</t>
  </si>
  <si>
    <t>GBBFB</t>
  </si>
  <si>
    <t>Braefoot Bay</t>
  </si>
  <si>
    <t>GBBRW</t>
  </si>
  <si>
    <t>Bridgwater</t>
  </si>
  <si>
    <t>GBBLS</t>
  </si>
  <si>
    <t>Brightlingsea</t>
  </si>
  <si>
    <t>GBBRS</t>
  </si>
  <si>
    <t>Bristol</t>
  </si>
  <si>
    <t>GBBRX</t>
  </si>
  <si>
    <t>Brixham</t>
  </si>
  <si>
    <t>GBBDI</t>
  </si>
  <si>
    <t>GBBHK</t>
  </si>
  <si>
    <t>Bromborough</t>
  </si>
  <si>
    <t>GBBCH</t>
  </si>
  <si>
    <t>GBBRU</t>
  </si>
  <si>
    <t>Bruray, Out Skerries</t>
  </si>
  <si>
    <t>GBBUC</t>
  </si>
  <si>
    <t>Buckie</t>
  </si>
  <si>
    <t>GBBTL</t>
  </si>
  <si>
    <t>Burntisland</t>
  </si>
  <si>
    <t>GBCYN</t>
  </si>
  <si>
    <t>Cairnryan</t>
  </si>
  <si>
    <t>GBCBT</t>
  </si>
  <si>
    <t>Campbeltown</t>
  </si>
  <si>
    <t>GBCNA</t>
  </si>
  <si>
    <t>GBCAN</t>
  </si>
  <si>
    <t>Canvey Island</t>
  </si>
  <si>
    <t>GBCDF</t>
  </si>
  <si>
    <t>Cardiff</t>
  </si>
  <si>
    <t>GBCRA</t>
  </si>
  <si>
    <t>Carradale</t>
  </si>
  <si>
    <t>GBCBA</t>
  </si>
  <si>
    <t>GBCAG</t>
  </si>
  <si>
    <t>GBCTM</t>
  </si>
  <si>
    <t>GBCHT</t>
  </si>
  <si>
    <t>Chepstow</t>
  </si>
  <si>
    <t>GBCST</t>
  </si>
  <si>
    <t>Chichester</t>
  </si>
  <si>
    <t>GBRAS</t>
  </si>
  <si>
    <t>GBCLS</t>
  </si>
  <si>
    <t>Clacton-on-Sea</t>
  </si>
  <si>
    <t>GBCLJ</t>
  </si>
  <si>
    <t>Claonaig</t>
  </si>
  <si>
    <t>GBQZL</t>
  </si>
  <si>
    <t>Clevedon</t>
  </si>
  <si>
    <t>GBCLF</t>
  </si>
  <si>
    <t>Cliffe</t>
  </si>
  <si>
    <t>GBCGP</t>
  </si>
  <si>
    <t>GBCLY</t>
  </si>
  <si>
    <t>Clydebank</t>
  </si>
  <si>
    <t>GBCLR</t>
  </si>
  <si>
    <t>Coleraine</t>
  </si>
  <si>
    <t>GBCAF</t>
  </si>
  <si>
    <t>GBCOR</t>
  </si>
  <si>
    <t>Corpach</t>
  </si>
  <si>
    <t>GBCOY</t>
  </si>
  <si>
    <t>Coryton</t>
  </si>
  <si>
    <t>GBCOW</t>
  </si>
  <si>
    <t>GBCGJ</t>
  </si>
  <si>
    <t>GBCNU</t>
  </si>
  <si>
    <t>Craignure</t>
  </si>
  <si>
    <t>GBCNC</t>
  </si>
  <si>
    <t>GBCMP</t>
  </si>
  <si>
    <t>GBCUV</t>
  </si>
  <si>
    <t>GBCMS</t>
  </si>
  <si>
    <t>GBDAG</t>
  </si>
  <si>
    <t>Dagenham</t>
  </si>
  <si>
    <t>GBDFD</t>
  </si>
  <si>
    <t>Dartford</t>
  </si>
  <si>
    <t>GBDTM</t>
  </si>
  <si>
    <t>Dartmouth</t>
  </si>
  <si>
    <t>GBDET</t>
  </si>
  <si>
    <t>Denton</t>
  </si>
  <si>
    <t>GBDVR</t>
  </si>
  <si>
    <t>Dover</t>
  </si>
  <si>
    <t>GBDRX</t>
  </si>
  <si>
    <t>Drax</t>
  </si>
  <si>
    <t>GBDUN</t>
  </si>
  <si>
    <t>Dundee</t>
  </si>
  <si>
    <t>GBDNU</t>
  </si>
  <si>
    <t>Dunoon</t>
  </si>
  <si>
    <t>GBERI</t>
  </si>
  <si>
    <t>Erith</t>
  </si>
  <si>
    <t>GBEVT</t>
  </si>
  <si>
    <t>Evanton</t>
  </si>
  <si>
    <t>GBEXE</t>
  </si>
  <si>
    <t>Exeter</t>
  </si>
  <si>
    <t>GBEYM</t>
  </si>
  <si>
    <t>Eyemouth</t>
  </si>
  <si>
    <t>GBFEE</t>
  </si>
  <si>
    <t>Fairlie</t>
  </si>
  <si>
    <t>GBFAL</t>
  </si>
  <si>
    <t>GBFAS</t>
  </si>
  <si>
    <t>Faslane</t>
  </si>
  <si>
    <t>GBFAW</t>
  </si>
  <si>
    <t>Fawley</t>
  </si>
  <si>
    <t>GBFXT</t>
  </si>
  <si>
    <t>Felixstowe</t>
  </si>
  <si>
    <t>GBFEO</t>
  </si>
  <si>
    <t>Feolin Ferry</t>
  </si>
  <si>
    <t>GBFNT</t>
  </si>
  <si>
    <t>Finnart</t>
  </si>
  <si>
    <t>GBFIO</t>
  </si>
  <si>
    <t>GBFBU</t>
  </si>
  <si>
    <t>GBFIS</t>
  </si>
  <si>
    <t>Fishguard</t>
  </si>
  <si>
    <t>GBFNH</t>
  </si>
  <si>
    <t>GBFLE</t>
  </si>
  <si>
    <t>Fleetwood</t>
  </si>
  <si>
    <t>GBFLW</t>
  </si>
  <si>
    <t>Flixborough</t>
  </si>
  <si>
    <t>GBFLH</t>
  </si>
  <si>
    <t>GBFOL</t>
  </si>
  <si>
    <t>Folkestone</t>
  </si>
  <si>
    <t>GBFOY</t>
  </si>
  <si>
    <t>Fowey</t>
  </si>
  <si>
    <t>GBFRB</t>
  </si>
  <si>
    <t>Fraserburgh</t>
  </si>
  <si>
    <t>GBGAR</t>
  </si>
  <si>
    <t>Gairloch</t>
  </si>
  <si>
    <t>GBGAS</t>
  </si>
  <si>
    <t>GBGIS</t>
  </si>
  <si>
    <t>Garlieston</t>
  </si>
  <si>
    <t>Garston</t>
  </si>
  <si>
    <t>GBGTN</t>
  </si>
  <si>
    <t>GBGAT</t>
  </si>
  <si>
    <t>Gateshead</t>
  </si>
  <si>
    <t>GBGIL</t>
  </si>
  <si>
    <t>Gillingham</t>
  </si>
  <si>
    <t>GBILL</t>
  </si>
  <si>
    <t>GBGIR</t>
  </si>
  <si>
    <t>Girvan</t>
  </si>
  <si>
    <t>GBGLW</t>
  </si>
  <si>
    <t>Glasgow</t>
  </si>
  <si>
    <t>GBGLD</t>
  </si>
  <si>
    <t>Glasson Dock</t>
  </si>
  <si>
    <t>GBGSA</t>
  </si>
  <si>
    <t>Glensanda</t>
  </si>
  <si>
    <t>GBGLO</t>
  </si>
  <si>
    <t>Gloucester</t>
  </si>
  <si>
    <t>GBGOO</t>
  </si>
  <si>
    <t>Goole</t>
  </si>
  <si>
    <t>GBGUR</t>
  </si>
  <si>
    <t>Gourock</t>
  </si>
  <si>
    <t>GBGRG</t>
  </si>
  <si>
    <t>Grangemouth</t>
  </si>
  <si>
    <t>GBGVS</t>
  </si>
  <si>
    <t>Gravesend</t>
  </si>
  <si>
    <t>GBGYS</t>
  </si>
  <si>
    <t>Grays</t>
  </si>
  <si>
    <t>GBGOA</t>
  </si>
  <si>
    <t>Great Oakley</t>
  </si>
  <si>
    <t>GBGTY</t>
  </si>
  <si>
    <t>Great Yarmouth</t>
  </si>
  <si>
    <t>GBGRK</t>
  </si>
  <si>
    <t>GBGSY</t>
  </si>
  <si>
    <t>Grimsby</t>
  </si>
  <si>
    <t>GBGRW</t>
  </si>
  <si>
    <t>GBGRJ</t>
  </si>
  <si>
    <t>GBGRU</t>
  </si>
  <si>
    <t>GBGUW</t>
  </si>
  <si>
    <t>Gunness Wharf</t>
  </si>
  <si>
    <t>GBGUT</t>
  </si>
  <si>
    <t>GBHNS</t>
  </si>
  <si>
    <t>GBHMV</t>
  </si>
  <si>
    <t>GBHTP</t>
  </si>
  <si>
    <t>Hartlepool</t>
  </si>
  <si>
    <t>GBHRW</t>
  </si>
  <si>
    <t>GBHSE</t>
  </si>
  <si>
    <t>GBHYM</t>
  </si>
  <si>
    <t>Heysham</t>
  </si>
  <si>
    <t>GBHHN</t>
  </si>
  <si>
    <t>GBHLO</t>
  </si>
  <si>
    <t>Holy Loch</t>
  </si>
  <si>
    <t>GBHLY</t>
  </si>
  <si>
    <t>Holyhead</t>
  </si>
  <si>
    <t>GBHPT</t>
  </si>
  <si>
    <t>Hound Point</t>
  </si>
  <si>
    <t>GBHOV</t>
  </si>
  <si>
    <t>GBHDD</t>
  </si>
  <si>
    <t>GBHWZ</t>
  </si>
  <si>
    <t>GBHUL</t>
  </si>
  <si>
    <t>Hull</t>
  </si>
  <si>
    <t>GBHST</t>
  </si>
  <si>
    <t>Hunterston</t>
  </si>
  <si>
    <t>GBILF</t>
  </si>
  <si>
    <t>Ilfracombe</t>
  </si>
  <si>
    <t>GBIMM</t>
  </si>
  <si>
    <t>Immingham</t>
  </si>
  <si>
    <t>GBIVR</t>
  </si>
  <si>
    <t>Inveraray</t>
  </si>
  <si>
    <t>GBIVG</t>
  </si>
  <si>
    <t>Invergordon</t>
  </si>
  <si>
    <t>GBINR</t>
  </si>
  <si>
    <t>Inverie</t>
  </si>
  <si>
    <t>GBINK</t>
  </si>
  <si>
    <t>Inverkeithing</t>
  </si>
  <si>
    <t>GBINV</t>
  </si>
  <si>
    <t>Inverness</t>
  </si>
  <si>
    <t>GBIPS</t>
  </si>
  <si>
    <t>GBIOG</t>
  </si>
  <si>
    <t>Isle of Grain</t>
  </si>
  <si>
    <t>GBKEA</t>
  </si>
  <si>
    <t>GBKCG</t>
  </si>
  <si>
    <t>Kennacraig</t>
  </si>
  <si>
    <t>GBKOA</t>
  </si>
  <si>
    <t>Kilchoan</t>
  </si>
  <si>
    <t>GBKGH</t>
  </si>
  <si>
    <t>Killingholme</t>
  </si>
  <si>
    <t>GBKLR</t>
  </si>
  <si>
    <t>Kilroot</t>
  </si>
  <si>
    <t>GBKLN</t>
  </si>
  <si>
    <t>GBKNK</t>
  </si>
  <si>
    <t>GBKOH</t>
  </si>
  <si>
    <t>GBKBE</t>
  </si>
  <si>
    <t>Kinlochbervie</t>
  </si>
  <si>
    <t>GBKKD</t>
  </si>
  <si>
    <t>Kirkcaldy</t>
  </si>
  <si>
    <t>GBKBT</t>
  </si>
  <si>
    <t>Kirkcudbright</t>
  </si>
  <si>
    <t>GBKWL</t>
  </si>
  <si>
    <t>GBKIS</t>
  </si>
  <si>
    <t>Kishorn</t>
  </si>
  <si>
    <t>GBKYL</t>
  </si>
  <si>
    <t>Kyle of Lochalsh</t>
  </si>
  <si>
    <t>GBLAN</t>
  </si>
  <si>
    <t>Lancaster</t>
  </si>
  <si>
    <t>GBLSH</t>
  </si>
  <si>
    <t>GBLGS</t>
  </si>
  <si>
    <t>Largs</t>
  </si>
  <si>
    <t>GBLAR</t>
  </si>
  <si>
    <t>Larne</t>
  </si>
  <si>
    <t>GBLAX</t>
  </si>
  <si>
    <t>GBLEI</t>
  </si>
  <si>
    <t>Leith</t>
  </si>
  <si>
    <t>GBLER</t>
  </si>
  <si>
    <t>GBLVR</t>
  </si>
  <si>
    <t>GBLTL</t>
  </si>
  <si>
    <t>Littlebrook</t>
  </si>
  <si>
    <t>GBLIT</t>
  </si>
  <si>
    <t>Littlehampton</t>
  </si>
  <si>
    <t>GBLIV</t>
  </si>
  <si>
    <t>GBLLD</t>
  </si>
  <si>
    <t>GBLDO</t>
  </si>
  <si>
    <t>Llandudno</t>
  </si>
  <si>
    <t>GBLCC</t>
  </si>
  <si>
    <t>GBLRP</t>
  </si>
  <si>
    <t>Loch Ryan Pt</t>
  </si>
  <si>
    <t>GBLHS</t>
  </si>
  <si>
    <t>Loch Striven</t>
  </si>
  <si>
    <t>GBLOL</t>
  </si>
  <si>
    <t>Lochaline</t>
  </si>
  <si>
    <t>GBLBD</t>
  </si>
  <si>
    <t>GBLOV</t>
  </si>
  <si>
    <t>Lochinver</t>
  </si>
  <si>
    <t>GBLMA</t>
  </si>
  <si>
    <t>GBLRZ</t>
  </si>
  <si>
    <t>GBLON</t>
  </si>
  <si>
    <t>London</t>
  </si>
  <si>
    <t>GBLGP</t>
  </si>
  <si>
    <t>GBLDY</t>
  </si>
  <si>
    <t>Londonderry</t>
  </si>
  <si>
    <t>GBLOW</t>
  </si>
  <si>
    <t>Lowestoft</t>
  </si>
  <si>
    <t>GBLYM</t>
  </si>
  <si>
    <t>Lymington</t>
  </si>
  <si>
    <t>GBLYS</t>
  </si>
  <si>
    <t>GBLNM</t>
  </si>
  <si>
    <t>Lynmouth</t>
  </si>
  <si>
    <t>GBMCD</t>
  </si>
  <si>
    <t>Macduff</t>
  </si>
  <si>
    <t>GBMLG</t>
  </si>
  <si>
    <t>Mallaig</t>
  </si>
  <si>
    <t>GBMSC</t>
  </si>
  <si>
    <t>GBMAW</t>
  </si>
  <si>
    <t>Marchwood</t>
  </si>
  <si>
    <t>GBMRB</t>
  </si>
  <si>
    <t>GBMEB</t>
  </si>
  <si>
    <t>Menai Bridge</t>
  </si>
  <si>
    <t>GBMTH</t>
  </si>
  <si>
    <t>Methil</t>
  </si>
  <si>
    <t>GBMYE</t>
  </si>
  <si>
    <t>GBMLF</t>
  </si>
  <si>
    <t>Milford Haven</t>
  </si>
  <si>
    <t>GBMLP</t>
  </si>
  <si>
    <t>GBMHD</t>
  </si>
  <si>
    <t>Minehead</t>
  </si>
  <si>
    <t>GBMIS</t>
  </si>
  <si>
    <t>Mistley</t>
  </si>
  <si>
    <t>GBMON</t>
  </si>
  <si>
    <t>Montrose</t>
  </si>
  <si>
    <t>GBCHE</t>
  </si>
  <si>
    <t>Mostyn</t>
  </si>
  <si>
    <t>GBNEH</t>
  </si>
  <si>
    <t>Neap House</t>
  </si>
  <si>
    <t>GBNEA</t>
  </si>
  <si>
    <t>GBNHO</t>
  </si>
  <si>
    <t>New Holland</t>
  </si>
  <si>
    <t>GBNCL</t>
  </si>
  <si>
    <t>Newcastle upon Tyne</t>
  </si>
  <si>
    <t>GBNHV</t>
  </si>
  <si>
    <t>GBNYL</t>
  </si>
  <si>
    <t>Newlyn</t>
  </si>
  <si>
    <t>GBNPT</t>
  </si>
  <si>
    <t>GBNGG</t>
  </si>
  <si>
    <t>Nigg</t>
  </si>
  <si>
    <t>GBNOH</t>
  </si>
  <si>
    <t>GBNRO</t>
  </si>
  <si>
    <t>GBNSH</t>
  </si>
  <si>
    <t>North Shields</t>
  </si>
  <si>
    <t>GBNFT</t>
  </si>
  <si>
    <t>Northfleet</t>
  </si>
  <si>
    <t>GBOAK</t>
  </si>
  <si>
    <t>Oakhamness</t>
  </si>
  <si>
    <t>GBOBA</t>
  </si>
  <si>
    <t>Oban</t>
  </si>
  <si>
    <t>GBOTR</t>
  </si>
  <si>
    <t>GBPAD</t>
  </si>
  <si>
    <t>GBPST</t>
  </si>
  <si>
    <t>GBPED</t>
  </si>
  <si>
    <t>Pembroke Dock</t>
  </si>
  <si>
    <t>GBPNH</t>
  </si>
  <si>
    <t>Penarth</t>
  </si>
  <si>
    <t>GBPEN</t>
  </si>
  <si>
    <t>Penzance</t>
  </si>
  <si>
    <t>GBPER</t>
  </si>
  <si>
    <t>GBPHD</t>
  </si>
  <si>
    <t>Peterhead</t>
  </si>
  <si>
    <t>GBPIE</t>
  </si>
  <si>
    <t>GBPLY</t>
  </si>
  <si>
    <t>Plymouth</t>
  </si>
  <si>
    <t>GBPOO</t>
  </si>
  <si>
    <t>Poole</t>
  </si>
  <si>
    <t>GBPAK</t>
  </si>
  <si>
    <t>Port Askaig</t>
  </si>
  <si>
    <t>GBPLN</t>
  </si>
  <si>
    <t>Port Ellen</t>
  </si>
  <si>
    <t>GBPMR</t>
  </si>
  <si>
    <t>GBPPE</t>
  </si>
  <si>
    <t>GBPTB</t>
  </si>
  <si>
    <t>Port Talbot</t>
  </si>
  <si>
    <t>GBPVD</t>
  </si>
  <si>
    <t>Portavadie</t>
  </si>
  <si>
    <t>GBPRU</t>
  </si>
  <si>
    <t>GBPCW</t>
  </si>
  <si>
    <t>Porthcawl</t>
  </si>
  <si>
    <t>GBPTL</t>
  </si>
  <si>
    <t>GBPRT</t>
  </si>
  <si>
    <t>GBPTR</t>
  </si>
  <si>
    <t>Portrush</t>
  </si>
  <si>
    <t>GBPME</t>
  </si>
  <si>
    <t>GBPFT</t>
  </si>
  <si>
    <t>Purfleet</t>
  </si>
  <si>
    <t>GBQUB</t>
  </si>
  <si>
    <t>GBRMG</t>
  </si>
  <si>
    <t>Ramsgate</t>
  </si>
  <si>
    <t>GBREN</t>
  </si>
  <si>
    <t>Renfrew</t>
  </si>
  <si>
    <t>GBRHB</t>
  </si>
  <si>
    <t>GBRID</t>
  </si>
  <si>
    <t>GBRCS</t>
  </si>
  <si>
    <t>Rochester</t>
  </si>
  <si>
    <t>GBROY</t>
  </si>
  <si>
    <t>Rosyth</t>
  </si>
  <si>
    <t>GBRAY</t>
  </si>
  <si>
    <t>GBRYE</t>
  </si>
  <si>
    <t>Rye</t>
  </si>
  <si>
    <t>GBSMH</t>
  </si>
  <si>
    <t>GBSCB</t>
  </si>
  <si>
    <t>Salcombe</t>
  </si>
  <si>
    <t>GBSCG</t>
  </si>
  <si>
    <t>GBSWY</t>
  </si>
  <si>
    <t>GBSCC</t>
  </si>
  <si>
    <t>GBSCF</t>
  </si>
  <si>
    <t>GBSFW</t>
  </si>
  <si>
    <t>GBSCA</t>
  </si>
  <si>
    <t>Scarborough</t>
  </si>
  <si>
    <t>GBSCN</t>
  </si>
  <si>
    <t>GBSCO</t>
  </si>
  <si>
    <t>GBSCR</t>
  </si>
  <si>
    <t>Scrabster</t>
  </si>
  <si>
    <t>GBSEA</t>
  </si>
  <si>
    <t>Seaham</t>
  </si>
  <si>
    <t>GBSLB</t>
  </si>
  <si>
    <t>Selby</t>
  </si>
  <si>
    <t>GBSSS</t>
  </si>
  <si>
    <t>Sharpness</t>
  </si>
  <si>
    <t>GBSHS</t>
  </si>
  <si>
    <t>Sheerness</t>
  </si>
  <si>
    <t>GBESH</t>
  </si>
  <si>
    <t>GBSIL</t>
  </si>
  <si>
    <t>Silloth</t>
  </si>
  <si>
    <t>GBSVT</t>
  </si>
  <si>
    <t>Silvertown</t>
  </si>
  <si>
    <t>GBSSH</t>
  </si>
  <si>
    <t>South Shields</t>
  </si>
  <si>
    <t>GBSOU</t>
  </si>
  <si>
    <t>GBSND</t>
  </si>
  <si>
    <t>Southend-on-Sea</t>
  </si>
  <si>
    <t>GBSTO</t>
  </si>
  <si>
    <t>Stornoway</t>
  </si>
  <si>
    <t>GBSTR</t>
  </si>
  <si>
    <t>Stranraer</t>
  </si>
  <si>
    <t>GBSNS</t>
  </si>
  <si>
    <t>GBSUL</t>
  </si>
  <si>
    <t>GBSUN</t>
  </si>
  <si>
    <t>Sunderland</t>
  </si>
  <si>
    <t>GBPSB</t>
  </si>
  <si>
    <t>Sutton Bridge</t>
  </si>
  <si>
    <t>GBSWA</t>
  </si>
  <si>
    <t>Swansea</t>
  </si>
  <si>
    <t>GBSYM</t>
  </si>
  <si>
    <t>GBTAR</t>
  </si>
  <si>
    <t>GBTAB</t>
  </si>
  <si>
    <t>GBTAI</t>
  </si>
  <si>
    <t>Tayinloan</t>
  </si>
  <si>
    <t>GBTEE</t>
  </si>
  <si>
    <t>Teesport</t>
  </si>
  <si>
    <t>GBTNM</t>
  </si>
  <si>
    <t>Teignmouth</t>
  </si>
  <si>
    <t>GBTTL</t>
  </si>
  <si>
    <t>GBTHS</t>
  </si>
  <si>
    <t>GBTIG</t>
  </si>
  <si>
    <t>Tighnabruaich</t>
  </si>
  <si>
    <t>GBTIL</t>
  </si>
  <si>
    <t>Tilbury</t>
  </si>
  <si>
    <t>GBTOB</t>
  </si>
  <si>
    <t>Tobermory</t>
  </si>
  <si>
    <t>GBTFT</t>
  </si>
  <si>
    <t>GBTHM</t>
  </si>
  <si>
    <t>Topsham</t>
  </si>
  <si>
    <t>GBTBY</t>
  </si>
  <si>
    <t>GBTOR</t>
  </si>
  <si>
    <t>Torquay</t>
  </si>
  <si>
    <t>GBTRA</t>
  </si>
  <si>
    <t>Tranmere</t>
  </si>
  <si>
    <t>GBTSO</t>
  </si>
  <si>
    <t>GBTRN</t>
  </si>
  <si>
    <t>Troon</t>
  </si>
  <si>
    <t>GBTRU</t>
  </si>
  <si>
    <t>Truro</t>
  </si>
  <si>
    <t>GBTYN</t>
  </si>
  <si>
    <t>Tyne</t>
  </si>
  <si>
    <t>GBUIG</t>
  </si>
  <si>
    <t>GBULL</t>
  </si>
  <si>
    <t>Ullapool</t>
  </si>
  <si>
    <t>GBULS</t>
  </si>
  <si>
    <t>GBUYE</t>
  </si>
  <si>
    <t>GBVID</t>
  </si>
  <si>
    <t>GBWLZ</t>
  </si>
  <si>
    <t>GBWPT</t>
  </si>
  <si>
    <t>Warrenpoint</t>
  </si>
  <si>
    <t>GBWAT</t>
  </si>
  <si>
    <t>Watchet</t>
  </si>
  <si>
    <t>GBWMB</t>
  </si>
  <si>
    <t>Wemyss Bay</t>
  </si>
  <si>
    <t>GBWBF</t>
  </si>
  <si>
    <t>GBWEY</t>
  </si>
  <si>
    <t>GBWTB</t>
  </si>
  <si>
    <t>GBWHV</t>
  </si>
  <si>
    <t>Whitehaven</t>
  </si>
  <si>
    <t>GBWTS</t>
  </si>
  <si>
    <t>Whitstable</t>
  </si>
  <si>
    <t>GBWIC</t>
  </si>
  <si>
    <t>Wick</t>
  </si>
  <si>
    <t>GBWIS</t>
  </si>
  <si>
    <t>Wisbech</t>
  </si>
  <si>
    <t>GBWOR</t>
  </si>
  <si>
    <t>Workington</t>
  </si>
  <si>
    <t>GBYMO</t>
  </si>
  <si>
    <t>GBYLL</t>
  </si>
  <si>
    <t>Yelland</t>
  </si>
  <si>
    <t>GIGIB</t>
  </si>
  <si>
    <t>PORTNAME</t>
  </si>
  <si>
    <t>Primary purpose of call</t>
  </si>
  <si>
    <t>Security measures applied in lieu of SSP (if not maintained)</t>
  </si>
  <si>
    <t>http://www.emsa.europa.eu/ssn-main/documents.html</t>
  </si>
  <si>
    <t>SSN XML Messaging Reference Guide</t>
  </si>
  <si>
    <t>Achnacroish (Island of Lismore)</t>
  </si>
  <si>
    <t>Aird Ma Ruibhe (Berneray, Inner Hebrides)</t>
  </si>
  <si>
    <t>Aird Mhor / Ardmhor (Barra Island, Outer Hebrides)</t>
  </si>
  <si>
    <t>Ardveenish (Barra Island, Outer Hebrides)</t>
  </si>
  <si>
    <t>Arinagour (Coll, Inner Hebrides)</t>
  </si>
  <si>
    <t>Armadale (Isle of Skye)</t>
  </si>
  <si>
    <t>Aultbea (Loch Ewe)</t>
  </si>
  <si>
    <t>Baile Mor, Iona (Inner Hebrides)</t>
  </si>
  <si>
    <t>Baltasound (Unst, Shetland Isles)</t>
  </si>
  <si>
    <t>Baltic Wharf (Creeksea, Wallasea Island)</t>
  </si>
  <si>
    <t>Bangor (N.I.)</t>
  </si>
  <si>
    <t>Barking</t>
  </si>
  <si>
    <t>Barrow-upon-Humber (Barrow Haven)</t>
  </si>
  <si>
    <t>Barry</t>
  </si>
  <si>
    <t>Belmont (Unst, Shetland Islands)</t>
  </si>
  <si>
    <t>Berwick Upon Tweed</t>
  </si>
  <si>
    <t>Brodick (Isle of Arran)</t>
  </si>
  <si>
    <t>Bruichladdich (Islay)</t>
  </si>
  <si>
    <t>Canna (Inner Hebrides)</t>
  </si>
  <si>
    <t>Castlebay  (Barra Island, Outer Hebrides)</t>
  </si>
  <si>
    <t>Ceann a Gharaidh (Eriskay, Outer Hebrides)</t>
  </si>
  <si>
    <t>Cloghan Point</t>
  </si>
  <si>
    <t>Collafirth (Shetland Islands)</t>
  </si>
  <si>
    <t>Cowes (IOW)</t>
  </si>
  <si>
    <t>Craighouse (Isle of Jura)</t>
  </si>
  <si>
    <t>Crinan (inc. Crinan Canal)</t>
  </si>
  <si>
    <t>Crombie Pier</t>
  </si>
  <si>
    <t>Cullivoe (Yell, Shetland Islands)</t>
  </si>
  <si>
    <t>Cumbrae Slip (Great Cumbrae)</t>
  </si>
  <si>
    <t>Fionnphort (Isle of Mull)</t>
  </si>
  <si>
    <t>Fishbourne (Wootton)</t>
  </si>
  <si>
    <t>Fishnish (Isle of Mull)</t>
  </si>
  <si>
    <t>Flotta (Orkney Islands)</t>
  </si>
  <si>
    <t>Galmisdale (Eigg, Inner Hebrides)</t>
  </si>
  <si>
    <t>Gills (Gills Bay)</t>
  </si>
  <si>
    <t>Grove Wharves</t>
  </si>
  <si>
    <t>Grovehurst Jetty (Sittingbourne)</t>
  </si>
  <si>
    <t>Grutness (Shetland Islands)</t>
  </si>
  <si>
    <t>Gutcher (Yell, Shetland Islands)</t>
  </si>
  <si>
    <t>Hamars Ness (Fetlar, Shetland Islands)</t>
  </si>
  <si>
    <t>Hamnavoe (Burra Isle, Shetland Islands)</t>
  </si>
  <si>
    <t>Harwich (inc Harwich Navyyard)</t>
  </si>
  <si>
    <t>Hessle (Hull)</t>
  </si>
  <si>
    <t>Holehaven (London)</t>
  </si>
  <si>
    <t>Housa Voe (Papa Stour, Shetland Islands)</t>
  </si>
  <si>
    <t>Howdendyke (Howden Dyke)</t>
  </si>
  <si>
    <t>Isle of Scalpay (Outer Hebrides)</t>
  </si>
  <si>
    <t>Isles of Scilly (St Marys)(UNLOCODE - HUGH TOWN)</t>
  </si>
  <si>
    <t>Isles of Scilly (Tresco)</t>
  </si>
  <si>
    <t>Keadby (River Trent)</t>
  </si>
  <si>
    <t>Kings Lynn</t>
  </si>
  <si>
    <t>Kingsnorth Power Station (Medway)</t>
  </si>
  <si>
    <t>Kinloch (Rum, Inner Hebrides)</t>
  </si>
  <si>
    <t>Kirkwall (Orkney Islands)</t>
  </si>
  <si>
    <t>Langstone Harbour</t>
  </si>
  <si>
    <t>Laxo (Shetland Islands)</t>
  </si>
  <si>
    <t>Lerwick (Shetland Islands)</t>
  </si>
  <si>
    <t>Leverburgh (Harris, Outer Hebrides)</t>
  </si>
  <si>
    <t>Llanddulas (inc Raynes Jetty)</t>
  </si>
  <si>
    <t>Lochboisdale (South Uist, Outer Hebrides)</t>
  </si>
  <si>
    <t>Lochmaddy (North Uist, Outer Hebrides)</t>
  </si>
  <si>
    <t>Lochranza (Isle of Arran)</t>
  </si>
  <si>
    <t>Lyness  (Hoy, Orkney Islands)</t>
  </si>
  <si>
    <t>Manchester Ship Canal</t>
  </si>
  <si>
    <t>Maryfield (Bressay, Shetland Islands)</t>
  </si>
  <si>
    <t>Mid Yell (Shetland Islands)</t>
  </si>
  <si>
    <t>Millport (Great Cumbrae)</t>
  </si>
  <si>
    <t>Newhaven (Sussex)</t>
  </si>
  <si>
    <t>Newport (Gwent)</t>
  </si>
  <si>
    <t>North Haven (Fair Isle, Shetland Islands)</t>
  </si>
  <si>
    <t>Otternish (North Uist, Outer Hebrides)</t>
  </si>
  <si>
    <t>Parkeston Quay (Harwich International)</t>
  </si>
  <si>
    <t>Pierowall (Westray, Orkney Islands)</t>
  </si>
  <si>
    <t>Port Mor (Muck, Inner Hebrides)</t>
  </si>
  <si>
    <t>Port Penhryn</t>
  </si>
  <si>
    <t>Portree (Isle of Skye)</t>
  </si>
  <si>
    <t>Queenborough (Medway)</t>
  </si>
  <si>
    <t>Raasay</t>
  </si>
  <si>
    <t>Rainham</t>
  </si>
  <si>
    <t>Rhubodach</t>
  </si>
  <si>
    <t>Ridham Dock (Sittingbourne)</t>
  </si>
  <si>
    <t>Rothesay</t>
  </si>
  <si>
    <t>Royal Portbury</t>
  </si>
  <si>
    <t>Scalasaig (Colonsay, Inner Hebrides)</t>
  </si>
  <si>
    <t>Scalloway (Shetland Islands)</t>
  </si>
  <si>
    <t>Scapa (Orkney Islands)</t>
  </si>
  <si>
    <t>Scapa Flow (Orkney Islands)</t>
  </si>
  <si>
    <t>Scarinish (Tiree, Inner Hebrides)</t>
  </si>
  <si>
    <t>Sconser (Isle of Skye)</t>
  </si>
  <si>
    <t>Shoreham By Sea</t>
  </si>
  <si>
    <t>St Margarets Hope (Orkney Islands)</t>
  </si>
  <si>
    <t>Stromness (Orkney Islands)</t>
  </si>
  <si>
    <t>Sullom Voe (Shetland Islands)</t>
  </si>
  <si>
    <t>Symbister (Whalsay, Shetland Islands)</t>
  </si>
  <si>
    <t>Tarbert (Loch Fyne)</t>
  </si>
  <si>
    <t>Tarbert (Tairbeart - Harris, Outer Hebrides)</t>
  </si>
  <si>
    <t>Tetney Terminal / Monobuoy (River Humber)</t>
  </si>
  <si>
    <t>Thames Haven (Shell Haven)</t>
  </si>
  <si>
    <t>Torbay</t>
  </si>
  <si>
    <t>Uig (Isle of Skye)</t>
  </si>
  <si>
    <t>Ulsta (Yell, Shetland Islands)</t>
  </si>
  <si>
    <t>Uyeasound (Unst, Shetland Islands)</t>
  </si>
  <si>
    <t>Vidlin (Shetland Islands)</t>
  </si>
  <si>
    <t>Walls (Shetland Islands)</t>
  </si>
  <si>
    <t>West Burrafirth (Shetland Islands)</t>
  </si>
  <si>
    <t>Yarmouth  (IOW)</t>
  </si>
  <si>
    <t>Note: Select 'Include' to include that section of the form when uploading to CERS via the Web UI. If this form is being uploaded as base64-encoded XML this section will be overridden by the "sections" attribute of the XML and will not affect what is uploaded; therefore it will be up to the PCAOS reporting authority to interpret this field and determine whether or not this should result in a change to the XML message for the voyage that is submitted.</t>
  </si>
  <si>
    <t>For a full list of messaging requirements see the "SSN XML Messaging Reference Guide" maintained here:</t>
  </si>
  <si>
    <t>Subsidiary risk</t>
  </si>
  <si>
    <t>Class 7</t>
  </si>
  <si>
    <t>Port of call name</t>
  </si>
  <si>
    <t>Port of call LOCODE</t>
  </si>
  <si>
    <t>Last port LOCODE</t>
  </si>
  <si>
    <t>Select port of call</t>
  </si>
  <si>
    <t>Next port LOCODE</t>
  </si>
  <si>
    <t>Last port name</t>
  </si>
  <si>
    <t>Select last port</t>
  </si>
  <si>
    <t>Select next port</t>
  </si>
  <si>
    <t>Next port name</t>
  </si>
  <si>
    <t>Country</t>
  </si>
  <si>
    <t>Port LOCODE</t>
  </si>
  <si>
    <t>Port Name</t>
  </si>
  <si>
    <t>Port name</t>
  </si>
  <si>
    <t>Port of discharge LOCODE</t>
  </si>
  <si>
    <t>Port of loading LOCODE</t>
  </si>
  <si>
    <t>INCOMING HAZMAT (FAL form 7)</t>
  </si>
  <si>
    <t>Select port of registry</t>
  </si>
  <si>
    <t>Port of registry name</t>
  </si>
  <si>
    <t>Last port delivered LOCODE</t>
  </si>
  <si>
    <t>Last port delivered name</t>
  </si>
  <si>
    <t>GBRAH</t>
  </si>
  <si>
    <t>Toft (Shetland Islands)</t>
  </si>
  <si>
    <t>Company IMO number</t>
  </si>
  <si>
    <t>Port of registry LOCODE</t>
  </si>
  <si>
    <t>Excel (.xls)</t>
  </si>
  <si>
    <t>HTML (.htm, .html)</t>
  </si>
  <si>
    <t>PDF (.pdf)</t>
  </si>
  <si>
    <t>TXT (.txt)</t>
  </si>
  <si>
    <t>Word (.doc, .docx, .dot, .rtf)</t>
  </si>
  <si>
    <t>XML (.xml)</t>
  </si>
  <si>
    <t xml:space="preserve"> </t>
  </si>
  <si>
    <t>Note: Information required by SOLAS regulation (XI-2/9.2.1). Details relating to specific fields are displayed on data input or upon clicking table header.</t>
  </si>
  <si>
    <t>Note: Number indicating the location of the ship by satellite services of Inmarsat.</t>
  </si>
  <si>
    <t>This sheet will not be processed by CERS and can be used for internal note keeping relating to this particular PortPlus submission.</t>
  </si>
  <si>
    <t>Cargo Associated Waste - please specify (may be estimates)</t>
  </si>
  <si>
    <t>Cargo Residues - please specify (may be estimates)</t>
  </si>
  <si>
    <t>Other: please specify using MARPOL Annex II category X, Y, Z, OS:</t>
  </si>
  <si>
    <t>Other - please specify [2300]</t>
  </si>
  <si>
    <t>Other - please specify [1300]</t>
  </si>
  <si>
    <t>Other - please specify [4100]</t>
  </si>
  <si>
    <t>Other - please specify [5100]</t>
  </si>
  <si>
    <t>Other - please specify [5300]</t>
  </si>
  <si>
    <t>Special/hazardous items - please specify (e.g. medical wastes, fluorescent light tubes, oily rags, etc.)</t>
  </si>
  <si>
    <t>KGM</t>
  </si>
  <si>
    <t>Consignment information</t>
  </si>
  <si>
    <t>Port of discharge name</t>
  </si>
  <si>
    <t>Port of loading name</t>
  </si>
  <si>
    <t>Gross / Net</t>
  </si>
  <si>
    <t>Net / Gross</t>
  </si>
  <si>
    <t>TEU Id</t>
  </si>
  <si>
    <t>DPG Item (1 or more items in a consignment)</t>
  </si>
  <si>
    <t>Transport unit (0 or more units for a DPG item)</t>
  </si>
  <si>
    <t>OUTGOING HAZMAT (FAL form 7)</t>
  </si>
  <si>
    <t>WASTE</t>
  </si>
  <si>
    <t>Vessel</t>
  </si>
  <si>
    <t>Related security matter to report</t>
  </si>
  <si>
    <t xml:space="preserve">Latitude / </t>
  </si>
  <si>
    <t>Data provider</t>
  </si>
  <si>
    <t>Ship location at the time of reporting</t>
  </si>
  <si>
    <t>Date of ship’s last visit to UK</t>
  </si>
  <si>
    <t>Additional vessel details</t>
  </si>
  <si>
    <t xml:space="preserve">1) This information may be used for port State control and other inspection purposes.
2) EEA states will determine which bodies will receive copies of this notification.
3) This form is to be completed unless the ship is covered by an exemption in accordance with Article 9 of Directive 2000/59/EC.
</t>
  </si>
  <si>
    <t>Voyage - Last port LOCODE</t>
  </si>
  <si>
    <t>Vessel - Port of registry LOCODE</t>
  </si>
  <si>
    <t>Voyage - Next port LOCODE</t>
  </si>
  <si>
    <t>Oily Residues (Sludge)</t>
  </si>
  <si>
    <t>Oily Bilge Water</t>
  </si>
  <si>
    <t>IMO number</t>
  </si>
  <si>
    <t>Special or additional security measures taken by the ship</t>
  </si>
  <si>
    <t>Special or additional security measures?</t>
  </si>
  <si>
    <t>None</t>
  </si>
  <si>
    <t>Security measures applied in lieu of SSP</t>
  </si>
  <si>
    <t xml:space="preserve">Neath (Castell-Nedd)Â </t>
  </si>
  <si>
    <t>Port Of London Gateway</t>
  </si>
  <si>
    <t>Ardrishaig Basin</t>
  </si>
  <si>
    <t>North Ronaldsay (Orkney Islands)</t>
  </si>
  <si>
    <t>GBIRL</t>
  </si>
  <si>
    <t>Irlam</t>
  </si>
  <si>
    <t>VESSEL</t>
  </si>
  <si>
    <t>Vessel identification</t>
  </si>
  <si>
    <t>Vessel details</t>
  </si>
  <si>
    <t>Certificate of registry</t>
  </si>
  <si>
    <t>VOYAGE</t>
  </si>
  <si>
    <t>Note: Confirm you have completed FAL forms 5 and 6 and submitted them to the Maritime National Single Window.
Note: If the ship is carrying any dangerous substances as cargo covered by any of classes 1, 2.1, 2.3, 3, 4.1, 5.1, 6.1, 6.2, 7 or 8 of the IMDG Code, please ensure you complete the necessary HAZMAT information and submit this to the CERS system.</t>
  </si>
  <si>
    <t>Related security matter?</t>
  </si>
  <si>
    <t>Describe the related security matter</t>
  </si>
  <si>
    <t>Ship-to-ship activities</t>
  </si>
  <si>
    <t>Voyage - Port of call LOCODE</t>
  </si>
  <si>
    <t>Waste type code</t>
  </si>
  <si>
    <t>Port Facility Name</t>
  </si>
  <si>
    <t>Arrival notification</t>
  </si>
  <si>
    <t>Departure notification</t>
  </si>
  <si>
    <t>Inbound Hazmat</t>
  </si>
  <si>
    <t>Outbound Hazmat</t>
  </si>
  <si>
    <t>Column</t>
  </si>
  <si>
    <t>At least two of ‘IMO number’, ‘Ship name’, ‘Call sign’ and ‘MMSI number’ must be given</t>
  </si>
  <si>
    <t xml:space="preserve">‘Current security level’ is required </t>
  </si>
  <si>
    <t>‘Waste delivery status’ is required</t>
  </si>
  <si>
    <t>‘Hazmat on board‘ is required</t>
  </si>
  <si>
    <t xml:space="preserve">If any ‘Agent’ info is given, then agent "Name" and at least one other field is required </t>
  </si>
  <si>
    <t>If 'Cargo manifest URL' or 'Cargo manifest document type' is given then the other is required</t>
  </si>
  <si>
    <t>IMO Number</t>
  </si>
  <si>
    <t>‘ISSC is valid?‘ is required</t>
  </si>
  <si>
    <t>If any ‘Cargo manifest contact’ is given, then ‘Phone’ is required</t>
  </si>
  <si>
    <t>Ship Name</t>
  </si>
  <si>
    <t>If ‘ISSC is valid?’ is false, then ‘Invalid reason’ is required</t>
  </si>
  <si>
    <t>‘ETD from port of call’ or ‘ATD Port of call’ is required</t>
  </si>
  <si>
    <t>‘Approved security plan?’ is required</t>
  </si>
  <si>
    <t xml:space="preserve">If incoming ‘Hazmat on board’ is ‘Yes’, then ‘POB Voyage towards port of call’ is required </t>
  </si>
  <si>
    <t>‘CSO Last name’ and one of ‘Phone’, ‘Fax’ and ‘Email’ is required</t>
  </si>
  <si>
    <t xml:space="preserve">If outgoing ‘Hazmat on board’ is ‘Yes’, then ‘POB Towards next port’ is required </t>
  </si>
  <si>
    <t>‘ISSC‘ info must be given if ‘ISSC is valid?’ is ‘True’</t>
  </si>
  <si>
    <t xml:space="preserve">If outgoing ‘Hazmat on board’ is ‘Yes’, then ‘Next Port’ is required </t>
  </si>
  <si>
    <t>Invalid reason' must be blank if 'ISSC is valid?' is 'True'</t>
  </si>
  <si>
    <t>If outgoing ‘Hazmat on board’ is ‘Yes’ and ‘Next Port’ is not ‘Unknown’, then ‘ETA to next port’ is required</t>
  </si>
  <si>
    <t>Port Call 1 - All mandatory fields must be given</t>
  </si>
  <si>
    <t>Port Call 2 - All mandatory fields must be given</t>
  </si>
  <si>
    <t>Port Call 3 - All mandatory fields must be given</t>
  </si>
  <si>
    <t>Port Call 4 - All mandatory fields must be given</t>
  </si>
  <si>
    <t>Port Call 5 - All mandatory fields must be given</t>
  </si>
  <si>
    <t>Port Call 6 - All mandatory fields must be given</t>
  </si>
  <si>
    <t>Port Call 7 - All mandatory fields must be given</t>
  </si>
  <si>
    <t>Port Call 8 - All mandatory fields must be given</t>
  </si>
  <si>
    <t>Port Call 9 - All mandatory fields must be given</t>
  </si>
  <si>
    <t>Port Call 10 - All mandatory fields must be given</t>
  </si>
  <si>
    <t>Ship-to-ship activity 1 - All mandatory fields must be given</t>
  </si>
  <si>
    <t>Ship-to-ship activity 2 - All mandatory fields must be given</t>
  </si>
  <si>
    <t>Ship-to-ship activity 3 - All mandatory fields must be given</t>
  </si>
  <si>
    <t>Ship-to-ship activity 4 - All mandatory fields must be given</t>
  </si>
  <si>
    <t>Ship-to-ship activity 5 - All mandatory fields must be given</t>
  </si>
  <si>
    <t>Ship-to-ship activity 6 - All mandatory fields must be given</t>
  </si>
  <si>
    <t>Ship-to-ship activity 7 - All mandatory fields must be given</t>
  </si>
  <si>
    <t>Ship-to-ship activity 8 - All mandatory fields must be given</t>
  </si>
  <si>
    <t>Ship-to-ship activity 9 - All mandatory fields must be given</t>
  </si>
  <si>
    <t>Ship-to-ship activity 10 - All mandatory fields must be given</t>
  </si>
  <si>
    <t>‘Port of call’ required</t>
  </si>
  <si>
    <t>Remaining waste delivery port' must be bank if 'Waste delivery status' is 'ALL'</t>
  </si>
  <si>
    <t>Form Status:</t>
  </si>
  <si>
    <t>Port Location</t>
  </si>
  <si>
    <t>Contact</t>
  </si>
  <si>
    <t>URL</t>
  </si>
  <si>
    <t>Row status</t>
  </si>
  <si>
    <t>`</t>
  </si>
  <si>
    <t>ETA next port</t>
  </si>
  <si>
    <t>Manifest URL</t>
  </si>
  <si>
    <t>Doc type</t>
  </si>
  <si>
    <t>Purposes of call ('Yes' to include)</t>
  </si>
  <si>
    <t>Unit</t>
  </si>
  <si>
    <t>IMO is invalid</t>
  </si>
  <si>
    <t>Ship name is invalid</t>
  </si>
  <si>
    <t>Callsign is invalid</t>
  </si>
  <si>
    <t>MMSI is invalid</t>
  </si>
  <si>
    <t>Ship type is invalid</t>
  </si>
  <si>
    <t>Gross tonnage is invalid</t>
  </si>
  <si>
    <t>Port of registry is invalid</t>
  </si>
  <si>
    <t>Certificate number invalid</t>
  </si>
  <si>
    <t>Company name invalid</t>
  </si>
  <si>
    <t>Company IMO invalid</t>
  </si>
  <si>
    <t>Brief cargo description must be less than 256 characters</t>
  </si>
  <si>
    <t>POB towards port of call is invalid</t>
  </si>
  <si>
    <t>Anchorage is invalid</t>
  </si>
  <si>
    <t>POB towards next port is invalid</t>
  </si>
  <si>
    <t>Location name is invalid</t>
  </si>
  <si>
    <t>Location completion port LOCODE is invalid</t>
  </si>
  <si>
    <t>Last port delivered LOCODE is invalid</t>
  </si>
  <si>
    <t>'Waste capacity' is invalid</t>
  </si>
  <si>
    <t>'Waste type description' is invalid</t>
  </si>
  <si>
    <t>'Waste retained' is invalid</t>
  </si>
  <si>
    <t>'Waste delivery status' is invalid</t>
  </si>
  <si>
    <t>'Hazmat on board' is invalid</t>
  </si>
  <si>
    <t>'INF ship class' is invalid</t>
  </si>
  <si>
    <t>'First name' is invalid</t>
  </si>
  <si>
    <t>'Last name' is invalid</t>
  </si>
  <si>
    <t>'Port LOCODE' is invalid</t>
  </si>
  <si>
    <t>'Fax is invalid'</t>
  </si>
  <si>
    <t>'Phone' is invalid</t>
  </si>
  <si>
    <t>'Email' is invalid</t>
  </si>
  <si>
    <t>'URL' is invalid</t>
  </si>
  <si>
    <t>'Doc type' is invalid</t>
  </si>
  <si>
    <t>'Ship location at the time of reporting' is invalid</t>
  </si>
  <si>
    <t>CSO 'First name' is invalid</t>
  </si>
  <si>
    <t>CSO 'Last name' is invalid</t>
  </si>
  <si>
    <t>CSO 'Phone' is invalid</t>
  </si>
  <si>
    <t>CSO 'Fax' is invalid</t>
  </si>
  <si>
    <t>CSO 'Email' is invalid</t>
  </si>
  <si>
    <t>Agent 'Name' is invalid</t>
  </si>
  <si>
    <t>Agent 'Phone' is invalid</t>
  </si>
  <si>
    <t>Agent 'Fax' is invalid</t>
  </si>
  <si>
    <t>Agent 'Email' is invalid</t>
  </si>
  <si>
    <t>ISSC 'Type' is invalid</t>
  </si>
  <si>
    <t>ISSC 'ISSC number' is invalid</t>
  </si>
  <si>
    <t>ISSC 'Issuer type' is invalid</t>
  </si>
  <si>
    <t>ISSC 'Issuer' is invalid</t>
  </si>
  <si>
    <t>ISSC 'ISSC is Valid?' is invalid</t>
  </si>
  <si>
    <t>ISSC 'Invalid reason' is invalid</t>
  </si>
  <si>
    <t>'Data provider' is invalid</t>
  </si>
  <si>
    <t>'Current security level' is invalid</t>
  </si>
  <si>
    <t>'Approved security plan?' is invalid</t>
  </si>
  <si>
    <t>Passenger list confirmation is invalid</t>
  </si>
  <si>
    <t>Crew list confirmation is invalid</t>
  </si>
  <si>
    <t>Brief cargo description' is invalid</t>
  </si>
  <si>
    <t>'Related security matter' is invalid</t>
  </si>
  <si>
    <t>Related security matter description is invalid</t>
  </si>
  <si>
    <t>'Primary purpose of call' is invalid</t>
  </si>
  <si>
    <t>'Consignment reference number' is invalid</t>
  </si>
  <si>
    <t>'Transport document ID' is invalid</t>
  </si>
  <si>
    <t>'Port of loading LOCODE' is invalid</t>
  </si>
  <si>
    <t>'Port of discharge LOCODE' is invalid</t>
  </si>
  <si>
    <t>'DPG item reference number' is invalid</t>
  </si>
  <si>
    <t>'Textual Reference' is invalid</t>
  </si>
  <si>
    <t>'DG classification' is invalid</t>
  </si>
  <si>
    <t>'IMO Hazard Class' is invalid</t>
  </si>
  <si>
    <t>'UN Number' is invalid</t>
  </si>
  <si>
    <t>'Total amount' is invalid</t>
  </si>
  <si>
    <t>'Net / Gross' is invalid</t>
  </si>
  <si>
    <t>'unit' is invalid</t>
  </si>
  <si>
    <t>'Packing group' is invalid</t>
  </si>
  <si>
    <t>'Flash point' is invalid</t>
  </si>
  <si>
    <t>'Marpol code' is invalid</t>
  </si>
  <si>
    <t>'Package code' is invalid</t>
  </si>
  <si>
    <t>'Total packages' is invalid</t>
  </si>
  <si>
    <t>'Additional info' is invalid</t>
  </si>
  <si>
    <t>'EMS number' is invalid</t>
  </si>
  <si>
    <t>'Subsidiary risk' is invalid</t>
  </si>
  <si>
    <t>'TEU type' is invalid</t>
  </si>
  <si>
    <t>TEU Id' is invalid</t>
  </si>
  <si>
    <t>'Location on board' is invalid</t>
  </si>
  <si>
    <t>Package count' is invalid</t>
  </si>
  <si>
    <t>Amount' is invalid</t>
  </si>
  <si>
    <t>'Gross / Net' is invalid</t>
  </si>
  <si>
    <t>Row 1 - IMO Port facility number is invalid</t>
  </si>
  <si>
    <t>Row 2 - IMO Port facility number is invalid</t>
  </si>
  <si>
    <t>Row 3 - IMO Port facility number is invalid</t>
  </si>
  <si>
    <t>Row 4 - IMO Port facility number is invalid</t>
  </si>
  <si>
    <t>Row 5 - IMO Port facility number is invalid</t>
  </si>
  <si>
    <t>Row 6 - IMO Port facility number is invalid</t>
  </si>
  <si>
    <t>Row 7 - IMO Port facility number is invalid</t>
  </si>
  <si>
    <t>Row 8 - IMO Port facility number is invalid</t>
  </si>
  <si>
    <t>Row 9 - IMO Port facility number is invalid</t>
  </si>
  <si>
    <t>Row 10 - IMO Port facility number is invalid</t>
  </si>
  <si>
    <t>Cargo manifest (choose one)</t>
  </si>
  <si>
    <t xml:space="preserve">Row 1 - </t>
  </si>
  <si>
    <t xml:space="preserve">Row 2 - </t>
  </si>
  <si>
    <t xml:space="preserve">Row 3 - </t>
  </si>
  <si>
    <t xml:space="preserve">Row 4 - </t>
  </si>
  <si>
    <t xml:space="preserve">Row 5 - </t>
  </si>
  <si>
    <t xml:space="preserve">Row 6 - </t>
  </si>
  <si>
    <t xml:space="preserve">Row 7 - </t>
  </si>
  <si>
    <t xml:space="preserve">Row 8 - </t>
  </si>
  <si>
    <t xml:space="preserve">Row 9 - </t>
  </si>
  <si>
    <t xml:space="preserve">Row 10 - </t>
  </si>
  <si>
    <t xml:space="preserve">Row 11 - </t>
  </si>
  <si>
    <t xml:space="preserve">Row 12 - </t>
  </si>
  <si>
    <t xml:space="preserve">Row 13 - </t>
  </si>
  <si>
    <t xml:space="preserve">Row 14 - </t>
  </si>
  <si>
    <t xml:space="preserve">Row 15 - </t>
  </si>
  <si>
    <t xml:space="preserve">Row 16 - </t>
  </si>
  <si>
    <t xml:space="preserve">Row 17 - </t>
  </si>
  <si>
    <t xml:space="preserve">Row 18 - </t>
  </si>
  <si>
    <t xml:space="preserve">Row 19 - </t>
  </si>
  <si>
    <t xml:space="preserve">Row 20 - </t>
  </si>
  <si>
    <t xml:space="preserve">Row 21 - </t>
  </si>
  <si>
    <t xml:space="preserve">Row 22 - </t>
  </si>
  <si>
    <t xml:space="preserve">Row 23 - </t>
  </si>
  <si>
    <t xml:space="preserve">Row 24 - </t>
  </si>
  <si>
    <t xml:space="preserve">Row 25 - </t>
  </si>
  <si>
    <t xml:space="preserve">Row 26 - </t>
  </si>
  <si>
    <t xml:space="preserve">Row 27 - </t>
  </si>
  <si>
    <t xml:space="preserve">Row 28 - </t>
  </si>
  <si>
    <t xml:space="preserve">Row 29 - </t>
  </si>
  <si>
    <t xml:space="preserve">Row 30 - </t>
  </si>
  <si>
    <t xml:space="preserve">Row 31 - </t>
  </si>
  <si>
    <t xml:space="preserve">Row 32 - </t>
  </si>
  <si>
    <t xml:space="preserve">Row 33 - </t>
  </si>
  <si>
    <t xml:space="preserve">Row 34 - </t>
  </si>
  <si>
    <t xml:space="preserve">Row 35 - </t>
  </si>
  <si>
    <t xml:space="preserve">Row 36 - </t>
  </si>
  <si>
    <t xml:space="preserve">Row 37 - </t>
  </si>
  <si>
    <t xml:space="preserve">Row 38 - </t>
  </si>
  <si>
    <t xml:space="preserve">Row 39 - </t>
  </si>
  <si>
    <t xml:space="preserve">Row 40 - </t>
  </si>
  <si>
    <t xml:space="preserve">Row 41 - </t>
  </si>
  <si>
    <t xml:space="preserve">Row 42 - </t>
  </si>
  <si>
    <t xml:space="preserve">Row 43 - </t>
  </si>
  <si>
    <t xml:space="preserve">Row 44 - </t>
  </si>
  <si>
    <t xml:space="preserve">Row 45 - </t>
  </si>
  <si>
    <t xml:space="preserve">Row 46 - </t>
  </si>
  <si>
    <t xml:space="preserve">Row 47 - </t>
  </si>
  <si>
    <t xml:space="preserve">Row 48 - </t>
  </si>
  <si>
    <t xml:space="preserve">Row 49 - </t>
  </si>
  <si>
    <t xml:space="preserve">Row 50 - </t>
  </si>
  <si>
    <t xml:space="preserve">Row 51 - </t>
  </si>
  <si>
    <t xml:space="preserve">Row 52 - </t>
  </si>
  <si>
    <t xml:space="preserve">Row 53 - </t>
  </si>
  <si>
    <t xml:space="preserve">Row 54 - </t>
  </si>
  <si>
    <t xml:space="preserve">Row 55 - </t>
  </si>
  <si>
    <t xml:space="preserve">Row 56 - </t>
  </si>
  <si>
    <t xml:space="preserve">Row 57 - </t>
  </si>
  <si>
    <t xml:space="preserve">Row 58 - </t>
  </si>
  <si>
    <t xml:space="preserve">Row 59 - </t>
  </si>
  <si>
    <t xml:space="preserve">Row 60 - </t>
  </si>
  <si>
    <t xml:space="preserve">Row 61 - </t>
  </si>
  <si>
    <t xml:space="preserve">Row 62 - </t>
  </si>
  <si>
    <t xml:space="preserve">Row 63 - </t>
  </si>
  <si>
    <t xml:space="preserve">Row 64 - </t>
  </si>
  <si>
    <t xml:space="preserve">Row 65 - </t>
  </si>
  <si>
    <t xml:space="preserve">Row 66 - </t>
  </si>
  <si>
    <t xml:space="preserve">Row 67 - </t>
  </si>
  <si>
    <t xml:space="preserve">Row 68 - </t>
  </si>
  <si>
    <t xml:space="preserve">Row 69 - </t>
  </si>
  <si>
    <t xml:space="preserve">Row 70 - </t>
  </si>
  <si>
    <t xml:space="preserve">Row 71 - </t>
  </si>
  <si>
    <t xml:space="preserve">Row 72 - </t>
  </si>
  <si>
    <t xml:space="preserve">Row 73 - </t>
  </si>
  <si>
    <t xml:space="preserve">Row 74 - </t>
  </si>
  <si>
    <t xml:space="preserve">Row 75 - </t>
  </si>
  <si>
    <t xml:space="preserve">Row 76 - </t>
  </si>
  <si>
    <t xml:space="preserve">Row 77 - </t>
  </si>
  <si>
    <t xml:space="preserve">Row 78 - </t>
  </si>
  <si>
    <t xml:space="preserve">Row 79 - </t>
  </si>
  <si>
    <t xml:space="preserve">Row 80 - </t>
  </si>
  <si>
    <t xml:space="preserve">Row 81 - </t>
  </si>
  <si>
    <t xml:space="preserve">Row 82 - </t>
  </si>
  <si>
    <t xml:space="preserve">Row 83 - </t>
  </si>
  <si>
    <t xml:space="preserve">Row 84 - </t>
  </si>
  <si>
    <t xml:space="preserve">Row 85 - </t>
  </si>
  <si>
    <t xml:space="preserve">Row 86 - </t>
  </si>
  <si>
    <t xml:space="preserve">Row 87 - </t>
  </si>
  <si>
    <t xml:space="preserve">Row 88 - </t>
  </si>
  <si>
    <t xml:space="preserve">Row 89 - </t>
  </si>
  <si>
    <t xml:space="preserve">Row 90 - </t>
  </si>
  <si>
    <t xml:space="preserve">Row 91 - </t>
  </si>
  <si>
    <t xml:space="preserve">Row 92 - </t>
  </si>
  <si>
    <t xml:space="preserve">Row 93 - </t>
  </si>
  <si>
    <t xml:space="preserve">Row 94 - </t>
  </si>
  <si>
    <t xml:space="preserve">Row 95 - </t>
  </si>
  <si>
    <t xml:space="preserve">Row 96 - </t>
  </si>
  <si>
    <t xml:space="preserve">Row 97 - </t>
  </si>
  <si>
    <t xml:space="preserve">Row 98 - </t>
  </si>
  <si>
    <t xml:space="preserve">Row 99 - </t>
  </si>
  <si>
    <t xml:space="preserve">Row 100 - </t>
  </si>
  <si>
    <t xml:space="preserve">Row 101 - </t>
  </si>
  <si>
    <t xml:space="preserve">Row 102 - </t>
  </si>
  <si>
    <t xml:space="preserve">Row 103 - </t>
  </si>
  <si>
    <t xml:space="preserve">Row 104 - </t>
  </si>
  <si>
    <t xml:space="preserve">Row 105 - </t>
  </si>
  <si>
    <t xml:space="preserve">Row 106 - </t>
  </si>
  <si>
    <t xml:space="preserve">Row 107 - </t>
  </si>
  <si>
    <t xml:space="preserve">Row 108 - </t>
  </si>
  <si>
    <t xml:space="preserve">Row 109 - </t>
  </si>
  <si>
    <t xml:space="preserve">Row 110 - </t>
  </si>
  <si>
    <t xml:space="preserve">Row 111 - </t>
  </si>
  <si>
    <t xml:space="preserve">Row 112 - </t>
  </si>
  <si>
    <t xml:space="preserve">Row 113 - </t>
  </si>
  <si>
    <t xml:space="preserve">Row 114 - </t>
  </si>
  <si>
    <t xml:space="preserve">Row 115 - </t>
  </si>
  <si>
    <t xml:space="preserve">Row 116 - </t>
  </si>
  <si>
    <t xml:space="preserve">Row 117 - </t>
  </si>
  <si>
    <t xml:space="preserve">Row 118 - </t>
  </si>
  <si>
    <t xml:space="preserve">Row 119 - </t>
  </si>
  <si>
    <t xml:space="preserve">Row 120 - </t>
  </si>
  <si>
    <t xml:space="preserve">Row 121 - </t>
  </si>
  <si>
    <t xml:space="preserve">Row 122 - </t>
  </si>
  <si>
    <t xml:space="preserve">Row 123 - </t>
  </si>
  <si>
    <t xml:space="preserve">Row 124 - </t>
  </si>
  <si>
    <t xml:space="preserve">Row 125 - </t>
  </si>
  <si>
    <t xml:space="preserve">Row 126 - </t>
  </si>
  <si>
    <t xml:space="preserve">Row 127 - </t>
  </si>
  <si>
    <t xml:space="preserve">Row 128 - </t>
  </si>
  <si>
    <t xml:space="preserve">Row 129 - </t>
  </si>
  <si>
    <t xml:space="preserve">Row 130 - </t>
  </si>
  <si>
    <t xml:space="preserve">Row 131 - </t>
  </si>
  <si>
    <t xml:space="preserve">Row 132 - </t>
  </si>
  <si>
    <t xml:space="preserve">Row 133 - </t>
  </si>
  <si>
    <t xml:space="preserve">Row 134 - </t>
  </si>
  <si>
    <t xml:space="preserve">Row 135 - </t>
  </si>
  <si>
    <t xml:space="preserve">Row 136 - </t>
  </si>
  <si>
    <t xml:space="preserve">Row 137 - </t>
  </si>
  <si>
    <t xml:space="preserve">Row 138 - </t>
  </si>
  <si>
    <t xml:space="preserve">Row 139 - </t>
  </si>
  <si>
    <t xml:space="preserve">Row 140 - </t>
  </si>
  <si>
    <t xml:space="preserve">Row 141 - </t>
  </si>
  <si>
    <t xml:space="preserve">Row 142 - </t>
  </si>
  <si>
    <t xml:space="preserve">Row 143 - </t>
  </si>
  <si>
    <t xml:space="preserve">Row 144 - </t>
  </si>
  <si>
    <t xml:space="preserve">Row 145 - </t>
  </si>
  <si>
    <t xml:space="preserve">Row 146 - </t>
  </si>
  <si>
    <t xml:space="preserve">Row 147 - </t>
  </si>
  <si>
    <t xml:space="preserve">Row 148 - </t>
  </si>
  <si>
    <t xml:space="preserve">Row 149 - </t>
  </si>
  <si>
    <t xml:space="preserve">Row 150 - </t>
  </si>
  <si>
    <t xml:space="preserve">Row 151 - </t>
  </si>
  <si>
    <t xml:space="preserve">Row 152 - </t>
  </si>
  <si>
    <t xml:space="preserve">Row 153 - </t>
  </si>
  <si>
    <t xml:space="preserve">Row 154 - </t>
  </si>
  <si>
    <t xml:space="preserve">Row 155 - </t>
  </si>
  <si>
    <t xml:space="preserve">Row 156 - </t>
  </si>
  <si>
    <t xml:space="preserve">Row 157 - </t>
  </si>
  <si>
    <t xml:space="preserve">Row 158 - </t>
  </si>
  <si>
    <t xml:space="preserve">Row 159 - </t>
  </si>
  <si>
    <t xml:space="preserve">Row 160 - </t>
  </si>
  <si>
    <t xml:space="preserve">Row 161 - </t>
  </si>
  <si>
    <t xml:space="preserve">Row 162 - </t>
  </si>
  <si>
    <t xml:space="preserve">Row 163 - </t>
  </si>
  <si>
    <t xml:space="preserve">Row 164 - </t>
  </si>
  <si>
    <t xml:space="preserve">Row 165 - </t>
  </si>
  <si>
    <t xml:space="preserve">Row 166 - </t>
  </si>
  <si>
    <t xml:space="preserve">Row 167 - </t>
  </si>
  <si>
    <t xml:space="preserve">Row 168 - </t>
  </si>
  <si>
    <t xml:space="preserve">Row 169 - </t>
  </si>
  <si>
    <t xml:space="preserve">Row 170 - </t>
  </si>
  <si>
    <t xml:space="preserve">Row 171 - </t>
  </si>
  <si>
    <t xml:space="preserve">Row 172 - </t>
  </si>
  <si>
    <t xml:space="preserve">Row 173 - </t>
  </si>
  <si>
    <t xml:space="preserve">Row 174 - </t>
  </si>
  <si>
    <t xml:space="preserve">Row 175 - </t>
  </si>
  <si>
    <t xml:space="preserve">Row 176 - </t>
  </si>
  <si>
    <t xml:space="preserve">Row 177 - </t>
  </si>
  <si>
    <t xml:space="preserve">Row 178 - </t>
  </si>
  <si>
    <t xml:space="preserve">Row 179 - </t>
  </si>
  <si>
    <t xml:space="preserve">Row 180 - </t>
  </si>
  <si>
    <t xml:space="preserve">Row 181 - </t>
  </si>
  <si>
    <t xml:space="preserve">Row 182 - </t>
  </si>
  <si>
    <t xml:space="preserve">Row 183 - </t>
  </si>
  <si>
    <t xml:space="preserve">Row 184 - </t>
  </si>
  <si>
    <t xml:space="preserve">Row 185 - </t>
  </si>
  <si>
    <t xml:space="preserve">Row 186 - </t>
  </si>
  <si>
    <t xml:space="preserve">Row 187 - </t>
  </si>
  <si>
    <t xml:space="preserve">Row 188 - </t>
  </si>
  <si>
    <t xml:space="preserve">Row 189 - </t>
  </si>
  <si>
    <t xml:space="preserve">Row 190 - </t>
  </si>
  <si>
    <t xml:space="preserve">Row 191 - </t>
  </si>
  <si>
    <t xml:space="preserve">Row 192 - </t>
  </si>
  <si>
    <t xml:space="preserve">Row 193 - </t>
  </si>
  <si>
    <t xml:space="preserve">Row 194 - </t>
  </si>
  <si>
    <t xml:space="preserve">Row 195 - </t>
  </si>
  <si>
    <t xml:space="preserve">Row 196 - </t>
  </si>
  <si>
    <t xml:space="preserve">Row 197 - </t>
  </si>
  <si>
    <t xml:space="preserve">Row 198 - </t>
  </si>
  <si>
    <t xml:space="preserve">Row 199 - </t>
  </si>
  <si>
    <t xml:space="preserve">Row 200 - </t>
  </si>
  <si>
    <t xml:space="preserve">Row 201 - </t>
  </si>
  <si>
    <t xml:space="preserve">Row 202 - </t>
  </si>
  <si>
    <t xml:space="preserve">Row 203 - </t>
  </si>
  <si>
    <t xml:space="preserve">Row 204 - </t>
  </si>
  <si>
    <t xml:space="preserve">Row 205 - </t>
  </si>
  <si>
    <t xml:space="preserve">Row 206 - </t>
  </si>
  <si>
    <t xml:space="preserve">Row 207 - </t>
  </si>
  <si>
    <t xml:space="preserve">Row 208 - </t>
  </si>
  <si>
    <t xml:space="preserve">Row 209 - </t>
  </si>
  <si>
    <t xml:space="preserve">Row 210 - </t>
  </si>
  <si>
    <t xml:space="preserve">Row 211 - </t>
  </si>
  <si>
    <t xml:space="preserve">Row 212 - </t>
  </si>
  <si>
    <t xml:space="preserve">Row 213 - </t>
  </si>
  <si>
    <t xml:space="preserve">Row 214 - </t>
  </si>
  <si>
    <t xml:space="preserve">Row 215 - </t>
  </si>
  <si>
    <t xml:space="preserve">Row 216 - </t>
  </si>
  <si>
    <t xml:space="preserve">Row 217 - </t>
  </si>
  <si>
    <t xml:space="preserve">Row 218 - </t>
  </si>
  <si>
    <t xml:space="preserve">Row 219 - </t>
  </si>
  <si>
    <t xml:space="preserve">Row 220 - </t>
  </si>
  <si>
    <t xml:space="preserve">Row 221 - </t>
  </si>
  <si>
    <t xml:space="preserve">Row 222 - </t>
  </si>
  <si>
    <t xml:space="preserve">Row 223 - </t>
  </si>
  <si>
    <t xml:space="preserve">Row 224 - </t>
  </si>
  <si>
    <t xml:space="preserve">Row 225 - </t>
  </si>
  <si>
    <t xml:space="preserve">Row 226 - </t>
  </si>
  <si>
    <t xml:space="preserve">Row 227 - </t>
  </si>
  <si>
    <t xml:space="preserve">Row 228 - </t>
  </si>
  <si>
    <t xml:space="preserve">Row 229 - </t>
  </si>
  <si>
    <t xml:space="preserve">Row 230 - </t>
  </si>
  <si>
    <t xml:space="preserve">Row 231 - </t>
  </si>
  <si>
    <t xml:space="preserve">Row 232 - </t>
  </si>
  <si>
    <t xml:space="preserve">Row 233 - </t>
  </si>
  <si>
    <t xml:space="preserve">Row 234 - </t>
  </si>
  <si>
    <t xml:space="preserve">Row 235 - </t>
  </si>
  <si>
    <t xml:space="preserve">Row 236 - </t>
  </si>
  <si>
    <t xml:space="preserve">Row 237 - </t>
  </si>
  <si>
    <t xml:space="preserve">Row 238 - </t>
  </si>
  <si>
    <t xml:space="preserve">Row 239 - </t>
  </si>
  <si>
    <t xml:space="preserve">Row 240 - </t>
  </si>
  <si>
    <t xml:space="preserve">Row 241 - </t>
  </si>
  <si>
    <t xml:space="preserve">Row 242 - </t>
  </si>
  <si>
    <t xml:space="preserve">Row 243 - </t>
  </si>
  <si>
    <t xml:space="preserve">Row 244 - </t>
  </si>
  <si>
    <t xml:space="preserve">Row 245 - </t>
  </si>
  <si>
    <t xml:space="preserve">Row 246 - </t>
  </si>
  <si>
    <t xml:space="preserve">Row 247 - </t>
  </si>
  <si>
    <t xml:space="preserve">Row 248 - </t>
  </si>
  <si>
    <t xml:space="preserve">Row 249 - </t>
  </si>
  <si>
    <t xml:space="preserve">Row 250 - </t>
  </si>
  <si>
    <t>‘Waste item’ information required</t>
  </si>
  <si>
    <t>All mandatory fields must be given</t>
  </si>
  <si>
    <t xml:space="preserve">If ‘Total amount’ is given, then ‘Net / Gross’ and ‘Total amount unit’ are required </t>
  </si>
  <si>
    <t>If ‘TEU type’ is ‘TEU’ then ‘TEU Id’ is required</t>
  </si>
  <si>
    <t>For a ‘Transport unit’ both ‘Location on board’ and ‘Amount’ are required</t>
  </si>
  <si>
    <t>For ‘Transport unit’ if ‘Amount’ is given then ‘Gross / Net’ and ‘Amount unit’ are required</t>
  </si>
  <si>
    <t>If ‘DG classification’ is ‘IMDG’ the ‘IMO Hazard Class’ and ‘UN Number’ is mandatory</t>
  </si>
  <si>
    <t>Minimum of two required:</t>
  </si>
  <si>
    <t>Voyage information</t>
  </si>
  <si>
    <t>24 hour notification</t>
  </si>
  <si>
    <t>ATA Port of call</t>
  </si>
  <si>
    <t>ATD Port of call</t>
  </si>
  <si>
    <t>Consignment reference number</t>
  </si>
  <si>
    <t>DPG item reference number</t>
  </si>
  <si>
    <t>DG classification</t>
  </si>
  <si>
    <t>Textual Reference</t>
  </si>
  <si>
    <t xml:space="preserve">Note: Use one of the two manifest (FAL form 2) notification methods
1) Manifest URL and Doctype in the Hazmat details section
2) The Manifest Contact Section </t>
  </si>
  <si>
    <t>Location on board</t>
  </si>
  <si>
    <t>Amount</t>
  </si>
  <si>
    <t>TEU type</t>
  </si>
  <si>
    <t>Waste to be delivered</t>
  </si>
  <si>
    <t>Waste capacity</t>
  </si>
  <si>
    <t>Waste retained</t>
  </si>
  <si>
    <t>Estimated waste creation</t>
  </si>
  <si>
    <t>Total amount</t>
  </si>
  <si>
    <t>Minimum of one required:</t>
  </si>
  <si>
    <t>CSO</t>
  </si>
  <si>
    <t>Agent</t>
  </si>
  <si>
    <t>Security overview</t>
  </si>
  <si>
    <t>Type</t>
  </si>
  <si>
    <t>Invalid reason:</t>
  </si>
  <si>
    <t>Cargo, passenger and crew lists</t>
  </si>
  <si>
    <t>ISSC</t>
  </si>
  <si>
    <t>Expiry</t>
  </si>
  <si>
    <t>Issuer</t>
  </si>
  <si>
    <t>Last 10 port calls</t>
  </si>
  <si>
    <t>Hazmat details</t>
  </si>
  <si>
    <t>Hazmat on board</t>
  </si>
  <si>
    <t>Location at form completion</t>
  </si>
  <si>
    <t>Waste overview</t>
  </si>
  <si>
    <t>Waste items</t>
  </si>
  <si>
    <t>Date from</t>
  </si>
  <si>
    <t>Date to</t>
  </si>
  <si>
    <t>Ship-to-ship activity</t>
  </si>
  <si>
    <t>Date of arrival</t>
  </si>
  <si>
    <t>Date of departure</t>
  </si>
  <si>
    <t>IMO Port facility number</t>
  </si>
  <si>
    <t>Security level</t>
  </si>
  <si>
    <t>Lat &amp; Long OR Location name required</t>
  </si>
  <si>
    <t>1) Sewage may be discharged at sea in accordance with Regulation 11 of Annex IV of Marpol 73/78. The corresponding boxes do not need to completed if it is the intention to make an authorised discharge at sea.
2) Cargo residues may be estimates.
3) By submitting this form I confirm that the above details are accurate and correct and there is sufficient dedicated on board capacity to store all waste generated between notification and the next port at which waste will be delivered.</t>
  </si>
  <si>
    <t>Override not allowed</t>
  </si>
  <si>
    <t>Override allowed</t>
  </si>
  <si>
    <t>Validation Override</t>
  </si>
  <si>
    <t>Validation Rules</t>
  </si>
  <si>
    <t>Ignore if invalid</t>
  </si>
  <si>
    <t>Len&lt;50</t>
  </si>
  <si>
    <t>Len&gt;50</t>
  </si>
  <si>
    <t>Don't allow invalid sheet upload</t>
  </si>
  <si>
    <t>Location</t>
  </si>
  <si>
    <t>Key:</t>
  </si>
  <si>
    <t>Gibraltar </t>
  </si>
  <si>
    <t>Key</t>
  </si>
  <si>
    <t>Is empty</t>
  </si>
  <si>
    <t>Status</t>
  </si>
  <si>
    <t>Port Facility' must be 4 digits</t>
  </si>
  <si>
    <t>'Position in port of call' must be less than 50 characters</t>
  </si>
  <si>
    <t xml:space="preserve">Override validations </t>
  </si>
  <si>
    <t>Reason for allowing validation override</t>
  </si>
  <si>
    <t>At least one Hazmat item is required</t>
  </si>
  <si>
    <t>*unit is invalid</t>
  </si>
  <si>
    <t>*Estimated waste creation is invalid</t>
  </si>
  <si>
    <t>Port of waste delivery is invalid</t>
  </si>
  <si>
    <t>* Waste retained is invalid</t>
  </si>
  <si>
    <t>* Waste capacity is invalid</t>
  </si>
  <si>
    <t>* Waste to be delivered is invalid</t>
  </si>
  <si>
    <t>Waste type description is invalid</t>
  </si>
  <si>
    <t>Estimated waste creation' is invalid</t>
  </si>
  <si>
    <t>INF1 (Class INF 1)</t>
  </si>
  <si>
    <t>INF2 (Class INF 2)</t>
  </si>
  <si>
    <t>INF3 (Class INF3)</t>
  </si>
  <si>
    <t>Only allowed once 'Reason for allowing validation override' is complete</t>
  </si>
  <si>
    <t>Loch Carnan (South Uist)</t>
  </si>
  <si>
    <t>Port of retained waste delivery ("LOCODE")</t>
  </si>
  <si>
    <t>Enter either of the following:</t>
  </si>
  <si>
    <t>Include</t>
  </si>
  <si>
    <t>Note: If the previous port was outside the European Economic Area, the food waste is treated like International Catering Waste.</t>
  </si>
  <si>
    <t>Persons on board towards next port</t>
  </si>
  <si>
    <t>Persons on board toward port of call</t>
  </si>
  <si>
    <t>See FAQ page for usage guide</t>
  </si>
  <si>
    <t>cers3@mcga.gov.uk</t>
  </si>
  <si>
    <t>Contact MCA (24 hours)</t>
  </si>
  <si>
    <t>Contact MCA (Business hours)</t>
  </si>
  <si>
    <t>Row 1 - Previous port call 'Date of arrival' is after 'Date of departure'</t>
  </si>
  <si>
    <t>Row 2 - Previous port call 'Date of arrival' is after 'Date of departure'</t>
  </si>
  <si>
    <t>Row 3 - Previous port call 'Date of arrival' is after 'Date of departure'</t>
  </si>
  <si>
    <t>Row 4 - Previous port call 'Date of arrival' is after 'Date of departure'</t>
  </si>
  <si>
    <t>Row 5 - Previous port call 'Date of arrival' is after 'Date of departure'</t>
  </si>
  <si>
    <t>Row 6 - Previous port call 'Date of arrival' is after 'Date of departure'</t>
  </si>
  <si>
    <t>Row 7 - Previous port call 'Date of arrival' is after 'Date of departure'</t>
  </si>
  <si>
    <t>Row 8 - Previous port call 'Date of arrival' is after 'Date of departure'</t>
  </si>
  <si>
    <t>Row 9 - Previous port call 'Date of arrival' is after 'Date of departure'</t>
  </si>
  <si>
    <t>Row 10 - Previous port call 'Date of arrival' is after 'Date of departure'</t>
  </si>
  <si>
    <t>Data provider name</t>
  </si>
  <si>
    <t>Cargo associated waste</t>
  </si>
  <si>
    <t>Cargo residues</t>
  </si>
  <si>
    <t>Cargo hold washing water containing residues and or cleaning agents or additives harmful to the marine environment</t>
  </si>
  <si>
    <t>Dry cargo residues NOT harmful to the marine environment</t>
  </si>
  <si>
    <t>Cargo hold washing water containing residues and or cleaning agents or additives NOT harmful to the marine environment</t>
  </si>
  <si>
    <t>Dry cargo residues harmful to the marine environment</t>
  </si>
  <si>
    <t>Other: please specify using MARPOL Annex II category X, Y, Z, OS</t>
  </si>
  <si>
    <t>Ballast water containing noxious cargo residues: specify in free text field using MARPOL Annex II category X, Y, Z, OS</t>
  </si>
  <si>
    <t>Washing waters containing noxious cargo residues: specify in free text field using MARPOL Annex II category X, Y, Z, OS</t>
  </si>
  <si>
    <t>–</t>
  </si>
  <si>
    <t>Waste Code 1200- All amounts and units must be given</t>
  </si>
  <si>
    <t>Waste Code 1100- All amounts and units must be given</t>
  </si>
  <si>
    <t>Waste Code 1301- All amounts and units must be given</t>
  </si>
  <si>
    <t>Waste Code 1300- All amounts and units must be given</t>
  </si>
  <si>
    <t>Waste Code 3000- All amounts and units must be given</t>
  </si>
  <si>
    <t>Waste Code 2100- All amounts and units must be given</t>
  </si>
  <si>
    <t>Waste Code 2301- All amounts and units must be given</t>
  </si>
  <si>
    <t>Waste Code 2200- All amounts and units must be given</t>
  </si>
  <si>
    <t>Waste Code 2302- All amounts and units must be given</t>
  </si>
  <si>
    <t>Waste Code 2303- All amounts and units must be given</t>
  </si>
  <si>
    <t>Waste Code 2304- All amounts and units must be given</t>
  </si>
  <si>
    <t>Waste Code 2305- All amounts and units must be given</t>
  </si>
  <si>
    <t>Waste Code 2306- All amounts and units must be given</t>
  </si>
  <si>
    <t>Waste Code 2307- All amounts and units must be given</t>
  </si>
  <si>
    <t>Waste Code 2308- All amounts and units must be given</t>
  </si>
  <si>
    <t>Waste Code 2309- All amounts and units must be given</t>
  </si>
  <si>
    <t>Waste Code 2310- All amounts and units must be given</t>
  </si>
  <si>
    <t>Waste Code 2311- All amounts and units must be given</t>
  </si>
  <si>
    <t>Waste Code 2312- All amounts and units must be given</t>
  </si>
  <si>
    <t>Waste Code 2300- All amounts and units must be given</t>
  </si>
  <si>
    <t>Waste Code 4000- All amounts and units must be given</t>
  </si>
  <si>
    <t>Waste Code 4101- All amounts and units must be given</t>
  </si>
  <si>
    <t>Waste Code 4100- All amounts and units must be given</t>
  </si>
  <si>
    <t>Waste Code 5000- All amounts and units must be given</t>
  </si>
  <si>
    <t>Waste Code 5101- All amounts and units must be given</t>
  </si>
  <si>
    <t>Waste Code 5102- All amounts and units must be given</t>
  </si>
  <si>
    <t>Waste Code 5103- All amounts and units must be given</t>
  </si>
  <si>
    <t>Waste Code 5100- All amounts and units must be given</t>
  </si>
  <si>
    <t>Waste Code 5201- All amounts and units must be given</t>
  </si>
  <si>
    <t>Waste Code 5202- All amounts and units must be given</t>
  </si>
  <si>
    <t>Waste Code 5200- All amounts and units must be given</t>
  </si>
  <si>
    <t>Waste Code 5301- All amounts and units must be given</t>
  </si>
  <si>
    <t>Waste Code 5302- All amounts and units must be given</t>
  </si>
  <si>
    <t>Waste Code 5303- All amounts and units must be given</t>
  </si>
  <si>
    <t>Waste Code 5304- All amounts and units must be given</t>
  </si>
  <si>
    <t>Waste Code 5300- All amounts and units must be given</t>
  </si>
  <si>
    <t>Other - please specify</t>
  </si>
  <si>
    <t>1st Optional waste item - All amounts and units must be given</t>
  </si>
  <si>
    <t>Optional duplicate waste types</t>
  </si>
  <si>
    <t>2nd Optional waste item - All amounts and units must be given</t>
  </si>
  <si>
    <t>3rd Optional waste item - All amounts and units must be given</t>
  </si>
  <si>
    <t>4th Optional waste item - All amounts and units must be given</t>
  </si>
  <si>
    <t>1st Optional waste item - Both waste type dropdowns should be used</t>
  </si>
  <si>
    <t>2nd Optional waste item - Both waste type dropdowns should be used</t>
  </si>
  <si>
    <t>3rd Optional waste item - Both waste type dropdowns should be used</t>
  </si>
  <si>
    <t>4th Optional waste item - Both waste type dropdowns should be used</t>
  </si>
  <si>
    <t>ISSC 'Invalid reason' must not be given if 'ISSC is valid?' is 'TRUE'</t>
  </si>
  <si>
    <t xml:space="preserve">* This must only be done when there is a valid reason for returning an invalid workbook.
* The validation override still must be applied if the workbook is being submitted in a base64 encoded XML message. Otherwise the section will not be uploaded
</t>
  </si>
  <si>
    <t>Other - please specify [2300] (if more than one type)</t>
  </si>
  <si>
    <t>Waste type description</t>
  </si>
  <si>
    <t>Reporting Summary</t>
  </si>
  <si>
    <r>
      <t>The field for</t>
    </r>
    <r>
      <rPr>
        <b/>
        <sz val="10"/>
        <color theme="1" tint="0.14990691854609822"/>
        <rFont val="Consolas"/>
        <family val="3"/>
      </rPr>
      <t xml:space="preserve"> “Port of retained waste delivery ("LOCODE")”</t>
    </r>
    <r>
      <rPr>
        <sz val="10"/>
        <color theme="1" tint="0.14990691854609822"/>
        <rFont val="Consolas"/>
        <family val="3"/>
      </rPr>
      <t xml:space="preserve"> is to provide a port LOCODE for the next port where you deliver any waste you retained on board at this port call. If this is unknown, leave the field blank. Entering anything other than a valid Locode will create an error.</t>
    </r>
  </si>
  <si>
    <t>Phone and fax numbers should be entered without spaces, brackets or letters. Anything other than a number or a + will create an error.</t>
  </si>
  <si>
    <t>Consignment reference number' is invalid</t>
  </si>
  <si>
    <t>Ship-to-ship - `Security measures` is invalid</t>
  </si>
  <si>
    <t>Ship-to-ship - 'Ship-to-ship activity' is invalid</t>
  </si>
  <si>
    <t>Ship-to-ship - 'Location name' is invalid</t>
  </si>
  <si>
    <t>Ship-to-ship - 'Longitude' is invalid</t>
  </si>
  <si>
    <t xml:space="preserve">Ship-to-ship - 'Latitude' is invalid </t>
  </si>
  <si>
    <t>Previous port call - 'Special or additional security measures taken'  is invalid</t>
  </si>
  <si>
    <t>Previous port call - 'Special or additional security measures' is invalid</t>
  </si>
  <si>
    <t>Previous port call -  'Security level'  is invalid</t>
  </si>
  <si>
    <t>Previous port call - 'Port LOCODE' is invalid</t>
  </si>
  <si>
    <t>Previous port call -  'Port Facility Name' is invalid</t>
  </si>
  <si>
    <t>Previous port call - 'Country' is invalid</t>
  </si>
  <si>
    <t>Voyage contact email</t>
  </si>
  <si>
    <t>The voyage contact email is set on the "Summary" tab</t>
  </si>
  <si>
    <r>
      <rPr>
        <b/>
        <sz val="10"/>
        <color theme="1" tint="0.14993743705557422"/>
        <rFont val="Arial"/>
        <family val="2"/>
      </rPr>
      <t>IMPORTANT:</t>
    </r>
    <r>
      <rPr>
        <sz val="10"/>
        <color theme="1" tint="0.14993743705557422"/>
        <rFont val="Arial"/>
        <family val="2"/>
      </rPr>
      <t xml:space="preserve"> Pay attention to highlighted fields in yellow as these are mandatory and must be completed if submitting that section.</t>
    </r>
  </si>
  <si>
    <t xml:space="preserve">* Sections marked as 'Invalid' will not be uploaded into CERS unless the 'Validation Override' is used
* To override these validations write you must give a reason in the Reasons selection and set 'Override validations' to 'Allow invalid sheet upload'
</t>
  </si>
  <si>
    <t>Maximum of nine 'Purposes of call' allowed</t>
  </si>
  <si>
    <t>Vessel contact email</t>
  </si>
  <si>
    <t>‘ETA to port of call’ or ‘ATA Port of call’ is required</t>
  </si>
  <si>
    <t xml:space="preserve">If 'Waste delivery status' is not 'NONE' then at least one waste item must be reported </t>
  </si>
  <si>
    <t>Ship-to-ship - 'Security measures' - 'Yes' or 'None'</t>
  </si>
  <si>
    <t xml:space="preserve">Inmarsat Call number exceeds 45 characters  </t>
  </si>
  <si>
    <t>1.2.3-lite</t>
  </si>
  <si>
    <t>aa838b69c3d45bb25852310c506bf844396dbfa9</t>
  </si>
  <si>
    <t>c4a12fe63688d344dedf62b83dec4b3d9503f8e3</t>
  </si>
  <si>
    <t>83794276d506a89a68d8e23f865dab781413cedb</t>
  </si>
  <si>
    <t>c8770753840240d529d5c8f5afde15a0c393a5cd</t>
  </si>
  <si>
    <t>a7d01b90f73f59c1c7726b3ef5992e460219a461</t>
  </si>
  <si>
    <t>e0e89433a75e95cbb4fe0713bc6a7e0700baeb88</t>
  </si>
  <si>
    <t>b223b8ac25ee7ccb1f7f8eb97637fdf4380557c1</t>
  </si>
  <si>
    <r>
      <t xml:space="preserve">
</t>
    </r>
    <r>
      <rPr>
        <b/>
        <sz val="10"/>
        <color theme="1" tint="0.14993743705557422"/>
        <rFont val="Arial"/>
        <family val="2"/>
      </rPr>
      <t>PURPOSE</t>
    </r>
    <r>
      <rPr>
        <sz val="10"/>
        <color theme="1" tint="0.14993743705557422"/>
        <rFont val="Arial"/>
        <family val="2"/>
      </rPr>
      <t xml:space="preserve">
This Excel workbook facilitates transition of UK ports and related entities to a SSN v3-compliant reporting framework, providing a bridge to minimise the effort required by PCAOS port authorities for reporting to CERS, and to maximise flexibility in fulfilling these regulatory reporting needs as the UK moves with the rest of the EU into an electronic reporting framework.
</t>
    </r>
    <r>
      <rPr>
        <b/>
        <sz val="10"/>
        <color theme="1" tint="0.14993743705557422"/>
        <rFont val="Arial"/>
        <family val="2"/>
      </rPr>
      <t>AUGMENTATION TO EXISTING INTERFACES</t>
    </r>
    <r>
      <rPr>
        <sz val="10"/>
        <color theme="1" tint="0.14993743705557422"/>
        <rFont val="Arial"/>
        <family val="2"/>
      </rPr>
      <t xml:space="preserve">
The usage of this workbook is not intended to replace either the CERS web application or the existing PCAOS technical interfaces into CERS 3, and it is always recommended that where possible the specific fields in the XML schema are produced and sent, or that the CERS 3 web application, with its rich user interface and interactive feedback, is used to ensure good data quality and successful messages.
However MCA has recognised the voice of industry and the need to reduce impact on users and provides this mechanism to help the transition to the upgraded schema with the minimum possible work from those impacted by the various reporting regulations affecting maritime voyages in the UK. 
As well as being a simplified method for capturing all the data at point of entry for integration into web service messages, this workbook allows offline entry (albeit digital), given that the SSN v3 schema compliance with FAL directives for Waste and Security replaces paper forms. As this may impose operational constraints on completing the voyage records, it is envisaged this Excel form will provide more flexibility for use where internet connectivity is not practical while still affording some level of control over the data.
</t>
    </r>
    <r>
      <rPr>
        <b/>
        <sz val="10"/>
        <color theme="1" tint="0.14993743705557422"/>
        <rFont val="Arial"/>
        <family val="2"/>
      </rPr>
      <t>HOW TO COMPLETE THIS WORKBOOK</t>
    </r>
    <r>
      <rPr>
        <sz val="10"/>
        <color theme="1" tint="0.14993743705557422"/>
        <rFont val="Arial"/>
        <family val="2"/>
      </rPr>
      <t xml:space="preserve">
This workbook is intended to be used to create new PortPlus reports for voyages for ports where the UK Maritime and Coastguard Agency has responsibility for reporting to EMSA as the National Competent Authority. Each worksheet can be considered a discrete, independent entity for a different required form that will eventually need to be sent to SSN via the PortPlus message. As such, it will be possible for only a subset of the worksheets in this workbook to be completed and submitted to CERS 3, whether by web application UI or technical SOAP web services.
For use via the web application UI, users may complete only those sheets which are relevant, and change the "Includes" fields above to specify exactly which sheets are to be uploaded. Users must set these before upload as explicit acknowledgement they are submitting the respective forms.
For use via the technical web services, these fields may or may not be used by the intermediate authority in the construction of the XML message sent to CERS 3. It is solely the contents of this message, and the definition of the attribute corresponding to which sheets of this spreadsheet are to be extracted from the base64 encoded workbook that will be uploaded. The PCAOS reporting entity has the discretion to define whether or not these fields are strictly followed or not depending on the capabilities of their system, however it is strongly recommended for consistency amongst the UK ports that where possible these fields are used as the flags for inclusion or exclusion.
</t>
    </r>
    <r>
      <rPr>
        <b/>
        <sz val="10"/>
        <color theme="1" tint="0.14993743705557422"/>
        <rFont val="Arial"/>
        <family val="2"/>
      </rPr>
      <t xml:space="preserve">AUTHENTICATION / PERMISSION 
</t>
    </r>
    <r>
      <rPr>
        <sz val="10"/>
        <color theme="1" tint="0.14993743705557422"/>
        <rFont val="Arial"/>
        <family val="2"/>
      </rPr>
      <t xml:space="preserve">Voyage details in this document may only be entered into CERS via authenticated users utilising either the CERS web user interface or web technical connection. Regardless of the method of data input, CERS will only accept data which users have the permissions to upload. Voyages cannot be created for a port of call which the user does not have permissions for.
PCAOS technical transmitting users will each have a unique authentication key, assigned to them during the testing phase of CERS 3 that must be included in the 'APIKey' field in the header of the CERS 3 web service.
Web UI users of CERS 3 will be also able to upload this spreadsheet directly in the web interface, which while not the optimal method of entry at least permits offline entry or an alternative where technical issues prevent use of the API for any reasons.
</t>
    </r>
    <r>
      <rPr>
        <b/>
        <sz val="10"/>
        <color theme="1" tint="0.14993743705557422"/>
        <rFont val="Arial"/>
        <family val="2"/>
      </rPr>
      <t>RESTRICTIONS</t>
    </r>
    <r>
      <rPr>
        <sz val="10"/>
        <color theme="1" tint="0.14993743705557422"/>
        <rFont val="Arial"/>
        <family val="2"/>
      </rPr>
      <t xml:space="preserve">
Users are not to copy and paste data into fields except as described in official documentation. The sheets in the workbook are not to be removed, even if they are returned later. Worksheets in the workbook must not be modified from the official versions. Only standard English characters and Arabic numerals should be used in the workbook. 
</t>
    </r>
    <r>
      <rPr>
        <b/>
        <sz val="10"/>
        <color theme="1" tint="0.14993743705557422"/>
        <rFont val="Arial"/>
        <family val="2"/>
      </rPr>
      <t>TRANSMISSION OF COMPLETED WORKBOOKS</t>
    </r>
    <r>
      <rPr>
        <sz val="10"/>
        <color theme="1" tint="0.14993743705557422"/>
        <rFont val="Arial"/>
        <family val="2"/>
      </rPr>
      <t xml:space="preserve">
Voyage details may be entered onto this workbook and then uploaded into CERS 3 either by embedding the workbook into an XML message to be technically sent to the CERS 3 SOAP web services, or by manual use of the CERS 3 web application to upload the spreadsheet.
</t>
    </r>
    <r>
      <rPr>
        <b/>
        <sz val="10"/>
        <color theme="1" tint="0.14993743705557422"/>
        <rFont val="Arial"/>
        <family val="2"/>
      </rPr>
      <t>VERSION CONTROL</t>
    </r>
    <r>
      <rPr>
        <sz val="10"/>
        <color theme="1" tint="0.14993743705557422"/>
        <rFont val="Arial"/>
        <family val="2"/>
      </rPr>
      <t xml:space="preserve">
This workbook is designed to work entirely offline, and none of the data used to validate entries will therefore be updated in realtime. This means that uploads may fail because of updates to reference data in the core CERS application (such as LOCODE changes or vessel detail changes) and that periodically users of this workbook will need to update their local version to a new one which will be made available on the CERS project website. Please check the CERS project site with an appropriate login (available from cers@mcga.gov.uk) for the latest version. 
</t>
    </r>
    <r>
      <rPr>
        <b/>
        <sz val="10"/>
        <color theme="1" tint="0.14993743705557422"/>
        <rFont val="Arial"/>
        <family val="2"/>
      </rPr>
      <t xml:space="preserve">COMPATIBILITY
</t>
    </r>
    <r>
      <rPr>
        <sz val="10"/>
        <color theme="1" tint="0.14993743705557422"/>
        <rFont val="Arial"/>
        <family val="2"/>
      </rPr>
      <t xml:space="preserve">This workbook requires the use of ActiveX and is only tested with of Microsoft Excel for Windows 2016. Excel 2016, 2010 and 2007 should also work but are not tested by the MCA. This Workbook is not tested on Excel for Mac and may not function correctly when run on Mac computers.
</t>
    </r>
    <r>
      <rPr>
        <b/>
        <sz val="10"/>
        <color theme="1" tint="0.14993743705557422"/>
        <rFont val="Arial"/>
        <family val="2"/>
      </rPr>
      <t>TIME ZONES IN THE CERS WORKBOOK</t>
    </r>
    <r>
      <rPr>
        <sz val="10"/>
        <color theme="1" tint="0.14993743705557422"/>
        <rFont val="Arial"/>
        <family val="2"/>
      </rPr>
      <t xml:space="preserve">
The CERS Workbook is used by people in many zones, and daylight savings changes at different times in different time zones, the CERS workbook supports times in UTC only. This ensures that users can consistently report the correct time in CERS.
</t>
    </r>
  </si>
  <si>
    <t>Country code</t>
  </si>
  <si>
    <t>Country name</t>
  </si>
  <si>
    <t>AF</t>
  </si>
  <si>
    <t>Afghanistan</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</si>
  <si>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</si>
  <si>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</si>
  <si>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</si>
  <si>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</si>
  <si>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</si>
  <si>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</si>
  <si>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</si>
  <si>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</si>
  <si>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</si>
  <si>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</si>
  <si>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</si>
  <si>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</si>
  <si>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</si>
  <si>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</si>
  <si>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</si>
  <si>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</si>
  <si>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</si>
  <si>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</si>
  <si>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</si>
  <si>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</si>
  <si>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</si>
  <si>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</si>
  <si>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</si>
  <si>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</si>
  <si>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Austria</t>
  </si>
  <si>
    <t>AZ</t>
  </si>
  <si>
    <t>Azerbaijan</t>
  </si>
  <si>
    <t>Bahamas</t>
  </si>
  <si>
    <t>Bahrain</t>
  </si>
  <si>
    <t>Bangladesh</t>
  </si>
  <si>
    <t>Barbados</t>
  </si>
  <si>
    <t>Belarus</t>
  </si>
  <si>
    <t>Belgium</t>
  </si>
  <si>
    <t>Belize</t>
  </si>
  <si>
    <t>Benin</t>
  </si>
  <si>
    <t>BM</t>
  </si>
  <si>
    <t>Bermuda</t>
  </si>
  <si>
    <t>Bhutan</t>
  </si>
  <si>
    <t>Bolivia, Plurinational State of</t>
  </si>
  <si>
    <t>Bonaire, Sint Eustatius and Saba</t>
  </si>
  <si>
    <t>Bosnia and Herzegovina</t>
  </si>
  <si>
    <t>BW</t>
  </si>
  <si>
    <t>Botswana</t>
  </si>
  <si>
    <t>Bouvet Island</t>
  </si>
  <si>
    <t>Brazil</t>
  </si>
  <si>
    <t>IO</t>
  </si>
  <si>
    <t>British Indian Ocean Territory</t>
  </si>
  <si>
    <t>Brunei Darussalam</t>
  </si>
  <si>
    <t>Bulgaria</t>
  </si>
  <si>
    <t>Burkina Faso</t>
  </si>
  <si>
    <t>Burundi</t>
  </si>
  <si>
    <t>KH</t>
  </si>
  <si>
    <t>Cambodia</t>
  </si>
  <si>
    <t>CM</t>
  </si>
  <si>
    <t>Cameroon</t>
  </si>
  <si>
    <t>Canada</t>
  </si>
  <si>
    <t>Cape Verde</t>
  </si>
  <si>
    <t>KY</t>
  </si>
  <si>
    <t>Cayman Islands</t>
  </si>
  <si>
    <t>Central African Republic</t>
  </si>
  <si>
    <t>Chad</t>
  </si>
  <si>
    <t>Chile</t>
  </si>
  <si>
    <t>CN</t>
  </si>
  <si>
    <t>China</t>
  </si>
  <si>
    <t>Christmas Island</t>
  </si>
  <si>
    <t>Cocos (Keeling) Islands</t>
  </si>
  <si>
    <t>AX</t>
  </si>
  <si>
    <t>Åland Islands</t>
  </si>
  <si>
    <t>Bolivia (Plurinational State of)</t>
  </si>
  <si>
    <t>Cabo Verde</t>
  </si>
  <si>
    <t>Colombia</t>
  </si>
  <si>
    <t>KM</t>
  </si>
  <si>
    <t>Comoros</t>
  </si>
  <si>
    <t>Congo</t>
  </si>
  <si>
    <t>CD</t>
  </si>
  <si>
    <t>Congo (Democratic Republic of the)</t>
  </si>
  <si>
    <t>Cook Islands</t>
  </si>
  <si>
    <t>Costa Rica</t>
  </si>
  <si>
    <t>Côte d'Ivoire</t>
  </si>
  <si>
    <t>Croatia</t>
  </si>
  <si>
    <t>Cuba</t>
  </si>
  <si>
    <t>CW</t>
  </si>
  <si>
    <t>Curaçao</t>
  </si>
  <si>
    <t>Cyprus</t>
  </si>
  <si>
    <t>Czech Republic</t>
  </si>
  <si>
    <t>DK</t>
  </si>
  <si>
    <t>Denmark</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</si>
  <si>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</si>
  <si>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</si>
  <si>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</si>
  <si>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</si>
  <si>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</si>
  <si>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</si>
  <si>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</si>
  <si>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</si>
  <si>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</si>
  <si>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</si>
  <si>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</si>
  <si>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</si>
  <si>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</si>
  <si>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</si>
  <si>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</si>
  <si>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</si>
  <si>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</si>
  <si>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</si>
  <si>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</si>
  <si>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FK</t>
  </si>
  <si>
    <t>Falkland Islands (Malvinas)</t>
  </si>
  <si>
    <t>Faroe Islands</t>
  </si>
  <si>
    <t>FJ</t>
  </si>
  <si>
    <t>Fiji</t>
  </si>
  <si>
    <t>Finland</t>
  </si>
  <si>
    <t>France</t>
  </si>
  <si>
    <t>GF</t>
  </si>
  <si>
    <t>French Guiana</t>
  </si>
  <si>
    <t>PF</t>
  </si>
  <si>
    <t>French Polynesia</t>
  </si>
  <si>
    <t>TF</t>
  </si>
  <si>
    <t>French Southern Territories</t>
  </si>
  <si>
    <t>GA</t>
  </si>
  <si>
    <t>Gabon</t>
  </si>
  <si>
    <t>GM</t>
  </si>
  <si>
    <t>Gambia</t>
  </si>
  <si>
    <t>GE</t>
  </si>
  <si>
    <t>Georgia</t>
  </si>
  <si>
    <t>DE</t>
  </si>
  <si>
    <t>Germany</t>
  </si>
  <si>
    <t>GH</t>
  </si>
  <si>
    <t>Ghana</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</si>
  <si>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</si>
  <si>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</si>
  <si>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</si>
  <si>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</si>
  <si>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</si>
  <si>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</si>
  <si>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</si>
  <si>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</si>
  <si>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</si>
  <si>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</si>
  <si>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</si>
  <si>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</si>
  <si>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</si>
  <si>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</si>
  <si>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</si>
  <si>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</si>
  <si>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</si>
  <si>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</si>
  <si>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</si>
  <si>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</si>
  <si>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</si>
  <si>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</si>
  <si>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</si>
  <si>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</si>
  <si>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</si>
  <si>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Holy See</t>
  </si>
  <si>
    <t>HN</t>
  </si>
  <si>
    <t>Honduras</t>
  </si>
  <si>
    <t>HK</t>
  </si>
  <si>
    <t>Hong Kong</t>
  </si>
  <si>
    <t>HU</t>
  </si>
  <si>
    <t>Hungary</t>
  </si>
  <si>
    <t>IS</t>
  </si>
  <si>
    <t>Iceland</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</si>
  <si>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</si>
  <si>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</si>
  <si>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</si>
  <si>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</si>
  <si>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</si>
  <si>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</si>
  <si>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</si>
  <si>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</si>
  <si>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</si>
  <si>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</si>
  <si>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</si>
  <si>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</si>
  <si>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</si>
  <si>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</si>
  <si>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</si>
  <si>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</si>
  <si>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</si>
  <si>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</si>
  <si>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</si>
  <si>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</si>
  <si>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</si>
  <si>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</si>
  <si>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</si>
  <si>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</si>
  <si>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</si>
  <si>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</si>
  <si>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</si>
  <si>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</si>
  <si>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</si>
  <si>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</si>
  <si>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</si>
  <si>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</si>
  <si>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</si>
  <si>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</si>
  <si>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</si>
  <si>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</si>
  <si>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</si>
  <si>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</si>
  <si>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</si>
  <si>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</si>
  <si>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</si>
  <si>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</si>
  <si>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</si>
  <si>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</si>
  <si>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</si>
  <si>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</si>
  <si>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</si>
  <si>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</si>
  <si>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</si>
  <si>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</si>
  <si>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</si>
  <si>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</si>
  <si>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</si>
  <si>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</si>
  <si>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</si>
  <si>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</si>
  <si>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</si>
  <si>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</si>
  <si>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</si>
  <si>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</si>
  <si>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</si>
  <si>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</si>
  <si>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</si>
  <si>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</si>
  <si>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</si>
  <si>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</si>
  <si>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</si>
  <si>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</si>
  <si>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Malta</t>
  </si>
  <si>
    <t>MH</t>
  </si>
  <si>
    <t>Marshall Islands</t>
  </si>
  <si>
    <t>MQ</t>
  </si>
  <si>
    <t>Martinique</t>
  </si>
  <si>
    <t>MR</t>
  </si>
  <si>
    <t>Mauritania</t>
  </si>
  <si>
    <t>MU</t>
  </si>
  <si>
    <t>Mauritius</t>
  </si>
  <si>
    <t>YT</t>
  </si>
  <si>
    <t>Mayotte</t>
  </si>
  <si>
    <t>Mexico</t>
  </si>
  <si>
    <t>FM</t>
  </si>
  <si>
    <t>Micronesia (Federated States of)</t>
  </si>
  <si>
    <t>MD</t>
  </si>
  <si>
    <t>Moldova (Republic of)</t>
  </si>
  <si>
    <t>Monaco</t>
  </si>
  <si>
    <t>MN</t>
  </si>
  <si>
    <t>Mongolia</t>
  </si>
  <si>
    <t>ME</t>
  </si>
  <si>
    <t>Montenegro</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</si>
  <si>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</si>
  <si>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</si>
  <si>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</si>
  <si>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</si>
  <si>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</si>
  <si>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</si>
  <si>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</si>
  <si>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</si>
  <si>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</si>
  <si>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</si>
  <si>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</si>
  <si>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</si>
  <si>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</si>
  <si>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</si>
  <si>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</si>
  <si>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</si>
  <si>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</si>
  <si>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</si>
  <si>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</si>
  <si>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</si>
  <si>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</si>
  <si>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Niger</t>
  </si>
  <si>
    <t>NG</t>
  </si>
  <si>
    <t>Nigeria</t>
  </si>
  <si>
    <t>NU</t>
  </si>
  <si>
    <t>Niue</t>
  </si>
  <si>
    <t>NF</t>
  </si>
  <si>
    <t>Norfolk Island</t>
  </si>
  <si>
    <t>MP</t>
  </si>
  <si>
    <t>Northern Mariana Islands</t>
  </si>
  <si>
    <t>NO</t>
  </si>
  <si>
    <t>Norway</t>
  </si>
  <si>
    <t>OM</t>
  </si>
  <si>
    <t>Oman</t>
  </si>
  <si>
    <t>Pakistan</t>
  </si>
  <si>
    <t>PW</t>
  </si>
  <si>
    <t>Palau</t>
  </si>
  <si>
    <t>PS</t>
  </si>
  <si>
    <t>Palestine, State of</t>
  </si>
  <si>
    <t>Panama</t>
  </si>
  <si>
    <t>Papua New Guinea</t>
  </si>
  <si>
    <t>Paraguay</t>
  </si>
  <si>
    <t>PE</t>
  </si>
  <si>
    <t>Peru</t>
  </si>
  <si>
    <t>Philippines</t>
  </si>
  <si>
    <t>Pitcairn</t>
  </si>
  <si>
    <t>Poland</t>
  </si>
  <si>
    <t>Portugal</t>
  </si>
  <si>
    <t>PR</t>
  </si>
  <si>
    <t>Puerto Rico</t>
  </si>
  <si>
    <t>QA</t>
  </si>
  <si>
    <t>Qatar</t>
  </si>
  <si>
    <t>RE</t>
  </si>
  <si>
    <t>Réunion</t>
  </si>
  <si>
    <t>Romania</t>
  </si>
  <si>
    <t>RU</t>
  </si>
  <si>
    <t>Russian Federation</t>
  </si>
  <si>
    <t>RW</t>
  </si>
  <si>
    <t>Rwanda</t>
  </si>
  <si>
    <t>Saint Barthélemy</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</si>
  <si>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</si>
  <si>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</si>
  <si>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</si>
  <si>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</si>
  <si>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</si>
  <si>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</si>
  <si>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</si>
  <si>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</si>
  <si>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</si>
  <si>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</si>
  <si>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</si>
  <si>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</si>
  <si>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</si>
  <si>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San Marino</t>
  </si>
  <si>
    <t>Sao Tome and Principe</t>
  </si>
  <si>
    <t>Saudi Arabia</t>
  </si>
  <si>
    <t>SN</t>
  </si>
  <si>
    <t>Senegal</t>
  </si>
  <si>
    <t>RS</t>
  </si>
  <si>
    <t>Serbia</t>
  </si>
  <si>
    <t>Seychelles</t>
  </si>
  <si>
    <t>Sierra Leone</t>
  </si>
  <si>
    <t>SG</t>
  </si>
  <si>
    <t>Singapore</t>
  </si>
  <si>
    <t>SX</t>
  </si>
  <si>
    <t>Sint Maarten (Dutch part)</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</si>
  <si>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</si>
  <si>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</si>
  <si>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</si>
  <si>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</si>
  <si>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</si>
  <si>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</si>
  <si>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</si>
  <si>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</si>
  <si>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</si>
  <si>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</si>
  <si>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</si>
  <si>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</si>
  <si>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</si>
  <si>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</si>
  <si>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</si>
  <si>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</si>
  <si>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</si>
  <si>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Sudan</t>
  </si>
  <si>
    <t>SR</t>
  </si>
  <si>
    <t>Suriname</t>
  </si>
  <si>
    <t>SJ</t>
  </si>
  <si>
    <t>Svalbard and Jan Mayen</t>
  </si>
  <si>
    <t>Swaziland</t>
  </si>
  <si>
    <t>Sweden</t>
  </si>
  <si>
    <t>Switzerland</t>
  </si>
  <si>
    <t>SY</t>
  </si>
  <si>
    <t>Syrian Arab Republic</t>
  </si>
  <si>
    <t>TW</t>
  </si>
  <si>
    <t>Taiwan, Province of China[a]</t>
  </si>
  <si>
    <t>TJ</t>
  </si>
  <si>
    <t>Tajikistan</t>
  </si>
  <si>
    <t>Tanzania, United Republic of</t>
  </si>
  <si>
    <t>TH</t>
  </si>
  <si>
    <t>Thailand</t>
  </si>
  <si>
    <t>TL</t>
  </si>
  <si>
    <t>Timor-Leste</t>
  </si>
  <si>
    <t>TG</t>
  </si>
  <si>
    <t>Togo</t>
  </si>
  <si>
    <t>Tokelau</t>
  </si>
  <si>
    <t>Tonga</t>
  </si>
  <si>
    <t>TT</t>
  </si>
  <si>
    <t>Trinidad and Tobago</t>
  </si>
  <si>
    <t>Tunisia</t>
  </si>
  <si>
    <t>Turkey</t>
  </si>
  <si>
    <t>TM</t>
  </si>
  <si>
    <t>Turkmenistan</t>
  </si>
  <si>
    <t>Turks and Caicos Islands</t>
  </si>
  <si>
    <t>TV</t>
  </si>
  <si>
    <t>Tuvalu</t>
  </si>
  <si>
    <t>UG</t>
  </si>
  <si>
    <t>Uganda</t>
  </si>
  <si>
    <t>UA</t>
  </si>
  <si>
    <t>Ukraine</t>
  </si>
  <si>
    <t>United Arab Emirates</t>
  </si>
  <si>
    <t>United Kingdom</t>
  </si>
  <si>
    <t>US</t>
  </si>
  <si>
    <t>United States of America</t>
  </si>
  <si>
    <t>UM</t>
  </si>
  <si>
    <t>United States Minor Outlying Islands</t>
  </si>
  <si>
    <t>UY</t>
  </si>
  <si>
    <t>Uruguay</t>
  </si>
  <si>
    <t>UZ</t>
  </si>
  <si>
    <t>Uzbekistan</t>
  </si>
  <si>
    <t>VU</t>
  </si>
  <si>
    <t>Vanuatu</t>
  </si>
  <si>
    <t>VE</t>
  </si>
  <si>
    <t>Venezuela (Bolivarian Republic of)</t>
  </si>
  <si>
    <t>VN</t>
  </si>
  <si>
    <t>Viet Nam</t>
  </si>
  <si>
    <t>Virgin Islands (British)</t>
  </si>
  <si>
    <t>Virgin Islands (U.S.)</t>
  </si>
  <si>
    <t>WF</t>
  </si>
  <si>
    <t>Wallis and Futuna</t>
  </si>
  <si>
    <t>EH</t>
  </si>
  <si>
    <t>Western Sahara</t>
  </si>
  <si>
    <t>YE</t>
  </si>
  <si>
    <t>Yemen</t>
  </si>
  <si>
    <t>ZM</t>
  </si>
  <si>
    <t>Zambia</t>
  </si>
  <si>
    <t>ZW</t>
  </si>
  <si>
    <t>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</si>
</sst>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dd/mm/yyyy;@"/>
  </numFmts>
  <fonts count="47" x14ac:knownFonts="1">
    <font>
      <sz val="10"/>
      <color theme="1" tint="0.14993743705557422"/>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tint="0.14993743705557422"/>
      <name val="Arial"/>
      <family val="2"/>
    </font>
    <font>
      <sz val="10"/>
      <color theme="0"/>
      <name val="Arial"/>
      <family val="2"/>
    </font>
    <font>
      <b/>
      <sz val="16"/>
      <color theme="0"/>
      <name val="Arial"/>
      <family val="2"/>
    </font>
    <font>
      <b/>
      <sz val="10"/>
      <color theme="1" tint="0.14993743705557422"/>
      <name val="Arial"/>
      <family val="2"/>
    </font>
    <font>
      <sz val="14"/>
      <color rgb="FF455A64"/>
      <name val="Arial"/>
      <family val="2"/>
    </font>
    <font>
      <i/>
      <sz val="10"/>
      <color theme="1" tint="0.14993743705557422"/>
      <name val="Arial"/>
      <family val="2"/>
    </font>
    <font>
      <sz val="10"/>
      <color theme="1" tint="0.14993743705557422"/>
      <name val="Consolas"/>
      <family val="3"/>
    </font>
    <font>
      <sz val="11"/>
      <color theme="1" tint="0.14993743705557422"/>
      <name val="Arial"/>
      <family val="2"/>
    </font>
    <font>
      <b/>
      <sz val="11"/>
      <color theme="0"/>
      <name val="Arial"/>
      <family val="2"/>
    </font>
    <font>
      <u/>
      <sz val="10"/>
      <color theme="10"/>
      <name val="Arial"/>
      <family val="2"/>
    </font>
    <font>
      <b/>
      <u/>
      <sz val="10"/>
      <color theme="10"/>
      <name val="Arial"/>
      <family val="2"/>
    </font>
    <font>
      <sz val="14"/>
      <color theme="0"/>
      <name val="Arial"/>
      <family val="2"/>
    </font>
    <font>
      <sz val="10"/>
      <name val="Arial"/>
      <family val="2"/>
    </font>
    <font>
      <sz val="10"/>
      <color theme="1" tint="0.14990691854609822"/>
      <name val="Consolas"/>
      <family val="3"/>
    </font>
    <font>
      <sz val="12"/>
      <color theme="1"/>
      <name val="Calibri"/>
      <family val="2"/>
      <scheme val="minor"/>
    </font>
    <font>
      <b/>
      <sz val="10"/>
      <color theme="1"/>
      <name val="Arial"/>
      <family val="2"/>
    </font>
    <font>
      <b/>
      <sz val="14"/>
      <color theme="0"/>
      <name val="Arial"/>
      <family val="2"/>
    </font>
    <font>
      <sz val="12"/>
      <color theme="1" tint="0.14993743705557422"/>
      <name val="Consolas"/>
      <family val="3"/>
    </font>
    <font>
      <b/>
      <sz val="10"/>
      <color theme="0"/>
      <name val="Arial"/>
      <family val="2"/>
    </font>
    <font>
      <b/>
      <sz val="12"/>
      <color theme="0"/>
      <name val="Arial"/>
      <family val="2"/>
    </font>
    <font>
      <b/>
      <sz val="10"/>
      <color rgb="FFFF0000"/>
      <name val="Arial"/>
      <family val="2"/>
    </font>
    <font>
      <b/>
      <sz val="10"/>
      <name val="Arial"/>
      <family val="2"/>
    </font>
    <font>
      <b/>
      <i/>
      <sz val="10"/>
      <name val="Arial"/>
      <family val="2"/>
    </font>
    <font>
      <b/>
      <sz val="10"/>
      <color theme="1" tint="0.14990691854609822"/>
      <name val="Consolas"/>
      <family val="3"/>
    </font>
    <font>
      <sz val="12"/>
      <color theme="1" tint="0.14993743705557422"/>
      <name val="Calibri"/>
      <family val="2"/>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rgb="FFCFD8DC"/>
        <bgColor indexed="64"/>
      </patternFill>
    </fill>
    <fill>
      <patternFill patternType="solid">
        <fgColor rgb="FFB0BEC5"/>
        <bgColor indexed="64"/>
      </patternFill>
    </fill>
    <fill>
      <patternFill patternType="solid">
        <fgColor rgb="FFDEE0E2"/>
        <bgColor indexed="64"/>
      </patternFill>
    </fill>
    <fill>
      <patternFill patternType="solid">
        <fgColor theme="1"/>
        <bgColor indexed="64"/>
      </patternFill>
    </fill>
    <fill>
      <patternFill patternType="solid">
        <fgColor rgb="FF6F777B"/>
        <bgColor indexed="64"/>
      </patternFill>
    </fill>
    <fill>
      <patternFill patternType="solid">
        <fgColor rgb="FFDEE0E2"/>
        <bgColor theme="0"/>
      </patternFill>
    </fill>
    <fill>
      <patternFill patternType="solid">
        <fgColor theme="0"/>
        <bgColor theme="0"/>
      </patternFill>
    </fill>
    <fill>
      <patternFill patternType="solid">
        <fgColor rgb="FFD53880"/>
        <bgColor indexed="64"/>
      </patternFill>
    </fill>
    <fill>
      <patternFill patternType="solid">
        <fgColor theme="7" tint="0.79998168889431442"/>
        <bgColor theme="0"/>
      </patternFill>
    </fill>
    <fill>
      <patternFill patternType="solid">
        <fgColor theme="1"/>
        <bgColor theme="0"/>
      </patternFill>
    </fill>
    <fill>
      <patternFill patternType="solid">
        <fgColor theme="0" tint="-0.34998626667073579"/>
        <bgColor indexed="64"/>
      </patternFill>
    </fill>
    <fill>
      <patternFill patternType="solid">
        <fgColor rgb="FFFFFF00"/>
        <bgColor theme="0"/>
      </patternFill>
    </fill>
    <fill>
      <patternFill patternType="solid">
        <fgColor theme="0" tint="-0.14999847407452621"/>
        <bgColor theme="0"/>
      </patternFill>
    </fill>
    <fill>
      <patternFill patternType="solid">
        <fgColor rgb="FFFFFF00"/>
        <bgColor indexed="64"/>
      </patternFill>
    </fill>
    <fill>
      <patternFill patternType="solid">
        <fgColor theme="0" tint="-4.9989318521683403E-2"/>
        <bgColor theme="0"/>
      </patternFill>
    </fill>
    <fill>
      <patternFill patternType="darkGray">
        <fgColor auto="1"/>
      </patternFill>
    </fill>
  </fills>
  <borders count="2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263238"/>
      </bottom>
      <diagonal/>
    </border>
    <border>
      <left style="thin">
        <color rgb="FF455A64"/>
      </left>
      <right style="thin">
        <color rgb="FF455A64"/>
      </right>
      <top style="thin">
        <color rgb="FF455A64"/>
      </top>
      <bottom style="thin">
        <color rgb="FF455A64"/>
      </bottom>
      <diagonal/>
    </border>
    <border>
      <left style="dashed">
        <color rgb="FFB0BEC5"/>
      </left>
      <right style="thin">
        <color rgb="FF455A64"/>
      </right>
      <top style="dashed">
        <color rgb="FFB0BEC5"/>
      </top>
      <bottom style="dashed">
        <color rgb="FFB0BEC5"/>
      </bottom>
      <diagonal/>
    </border>
    <border>
      <left style="thin">
        <color rgb="FF455A64"/>
      </left>
      <right style="dashed">
        <color rgb="FFB0BEC5"/>
      </right>
      <top style="dashed">
        <color rgb="FFB0BEC5"/>
      </top>
      <bottom style="dashed">
        <color rgb="FFB0BEC5"/>
      </bottom>
      <diagonal/>
    </border>
    <border>
      <left style="dashed">
        <color rgb="FFB0BEC5"/>
      </left>
      <right style="thin">
        <color rgb="FF455A64"/>
      </right>
      <top style="dashed">
        <color rgb="FFB0BEC5"/>
      </top>
      <bottom/>
      <diagonal/>
    </border>
    <border>
      <left style="thin">
        <color rgb="FF455A64"/>
      </left>
      <right/>
      <top style="dashed">
        <color rgb="FFB0BEC5"/>
      </top>
      <bottom/>
      <diagonal/>
    </border>
    <border>
      <left style="thick">
        <color rgb="FFBFC1C3"/>
      </left>
      <right style="thick">
        <color rgb="FFBFC1C3"/>
      </right>
      <top style="thick">
        <color rgb="FFBFC1C3"/>
      </top>
      <bottom/>
      <diagonal/>
    </border>
    <border>
      <left style="thick">
        <color rgb="FFBFC1C3"/>
      </left>
      <right/>
      <top style="thick">
        <color rgb="FFBFC1C3"/>
      </top>
      <bottom/>
      <diagonal/>
    </border>
    <border>
      <left/>
      <right style="thick">
        <color rgb="FFBFC1C3"/>
      </right>
      <top style="thick">
        <color rgb="FFBFC1C3"/>
      </top>
      <bottom/>
      <diagonal/>
    </border>
    <border>
      <left style="thick">
        <color rgb="FFBFC1C3"/>
      </left>
      <right/>
      <top/>
      <bottom/>
      <diagonal/>
    </border>
    <border>
      <left/>
      <right style="thick">
        <color rgb="FFBFC1C3"/>
      </right>
      <top/>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style="dashed">
        <color rgb="FFB0BEC5"/>
      </left>
      <right/>
      <top style="dashed">
        <color rgb="FFB0BEC5"/>
      </top>
      <bottom/>
      <diagonal/>
    </border>
    <border>
      <left style="dashed">
        <color rgb="FFB0BEC5"/>
      </left>
      <right style="thick">
        <color rgb="FFBFC1C3"/>
      </right>
      <top style="dashed">
        <color rgb="FFB0BEC5"/>
      </top>
      <bottom style="thick">
        <color rgb="FFBFC1C3"/>
      </bottom>
      <diagonal/>
    </border>
    <border>
      <left style="thin">
        <color rgb="FF455A64"/>
      </left>
      <right style="thick">
        <color rgb="FFBFC1C3"/>
      </right>
      <top style="dashed">
        <color rgb="FFB0BEC5"/>
      </top>
      <bottom style="thick">
        <color rgb="FFBFC1C3"/>
      </bottom>
      <diagonal/>
    </border>
    <border>
      <left style="thick">
        <color rgb="FFBFC1C3"/>
      </left>
      <right/>
      <top/>
      <bottom style="thick">
        <color rgb="FFBFC1C3"/>
      </bottom>
      <diagonal/>
    </border>
    <border>
      <left style="thin">
        <color rgb="FF455A64"/>
      </left>
      <right style="thick">
        <color rgb="FFBFC1C3"/>
      </right>
      <top/>
      <bottom/>
      <diagonal/>
    </border>
    <border>
      <left style="thick">
        <color rgb="FFBFC1C3"/>
      </left>
      <right/>
      <top style="dashed">
        <color rgb="FFB0BEC5"/>
      </top>
      <bottom/>
      <diagonal/>
    </border>
    <border>
      <left style="thin">
        <color rgb="FF455A64"/>
      </left>
      <right style="thick">
        <color rgb="FFBFC1C3"/>
      </right>
      <top style="dashed">
        <color rgb="FFB0BEC5"/>
      </top>
      <bottom/>
      <diagonal/>
    </border>
    <border>
      <left style="thick">
        <color rgb="FFBFC1C3"/>
      </left>
      <right/>
      <top style="dashed">
        <color rgb="FFB0BEC5"/>
      </top>
      <bottom style="thick">
        <color rgb="FFBFC1C3"/>
      </bottom>
      <diagonal/>
    </border>
    <border>
      <left style="thin">
        <color rgb="FF455A64"/>
      </left>
      <right style="thick">
        <color rgb="FFBFC1C3"/>
      </right>
      <top/>
      <bottom style="thick">
        <color rgb="FFBFC1C3"/>
      </bottom>
      <diagonal/>
    </border>
    <border>
      <left style="dashed">
        <color rgb="FF455A64"/>
      </left>
      <right/>
      <top/>
      <bottom/>
      <diagonal/>
    </border>
    <border>
      <left style="dashed">
        <color rgb="FFB0BEC5"/>
      </left>
      <right/>
      <top style="dashed">
        <color rgb="FFB0BEC5"/>
      </top>
      <bottom style="thick">
        <color rgb="FFBFC1C3"/>
      </bottom>
      <diagonal/>
    </border>
    <border>
      <left style="thin">
        <color rgb="FF6F777B"/>
      </left>
      <right style="thick">
        <color rgb="FFBFC1C3"/>
      </right>
      <top style="dashed">
        <color rgb="FFB0BEC5"/>
      </top>
      <bottom/>
      <diagonal/>
    </border>
    <border>
      <left style="thin">
        <color rgb="FF6F777B"/>
      </left>
      <right style="thick">
        <color rgb="FFBFC1C3"/>
      </right>
      <top/>
      <bottom/>
      <diagonal/>
    </border>
    <border>
      <left style="thin">
        <color rgb="FF6F777B"/>
      </left>
      <right style="thick">
        <color rgb="FFBFC1C3"/>
      </right>
      <top/>
      <bottom style="thick">
        <color rgb="FFBFC1C3"/>
      </bottom>
      <diagonal/>
    </border>
    <border>
      <left style="thick">
        <color rgb="FFBFC1C3"/>
      </left>
      <right style="thin">
        <color rgb="FF6F777B"/>
      </right>
      <top style="dashed">
        <color rgb="FFB0BEC5"/>
      </top>
      <bottom/>
      <diagonal/>
    </border>
    <border>
      <left style="thick">
        <color rgb="FFBFC1C3"/>
      </left>
      <right style="thin">
        <color rgb="FF6F777B"/>
      </right>
      <top/>
      <bottom/>
      <diagonal/>
    </border>
    <border>
      <left style="thick">
        <color rgb="FFBFC1C3"/>
      </left>
      <right style="thin">
        <color rgb="FF6F777B"/>
      </right>
      <top/>
      <bottom style="thick">
        <color rgb="FFBFC1C3"/>
      </bottom>
      <diagonal/>
    </border>
    <border>
      <left style="thick">
        <color rgb="FFBFC1C3"/>
      </left>
      <right/>
      <top/>
      <bottom style="dotted">
        <color rgb="FFBFC1C3"/>
      </bottom>
      <diagonal/>
    </border>
    <border>
      <left style="thick">
        <color rgb="FFBFC1C3"/>
      </left>
      <right/>
      <top style="dotted">
        <color rgb="FFBFC1C3"/>
      </top>
      <bottom style="dotted">
        <color rgb="FFBFC1C3"/>
      </bottom>
      <diagonal/>
    </border>
    <border>
      <left style="thin">
        <color rgb="FF455A64"/>
      </left>
      <right style="thick">
        <color rgb="FFBFC1C3"/>
      </right>
      <top style="dotted">
        <color rgb="FFBFC1C3"/>
      </top>
      <bottom style="dashed">
        <color rgb="FFB0BEC5"/>
      </bottom>
      <diagonal/>
    </border>
    <border>
      <left style="thin">
        <color rgb="FF455A64"/>
      </left>
      <right style="thick">
        <color rgb="FFBFC1C3"/>
      </right>
      <top style="dashed">
        <color rgb="FFB0BEC5"/>
      </top>
      <bottom style="dotted">
        <color rgb="FFBFC1C3"/>
      </bottom>
      <diagonal/>
    </border>
    <border>
      <left/>
      <right/>
      <top style="dashed">
        <color rgb="FFB0BEC5"/>
      </top>
      <bottom/>
      <diagonal/>
    </border>
    <border>
      <left/>
      <right style="thick">
        <color rgb="FFBFC1C3"/>
      </right>
      <top/>
      <bottom style="thick">
        <color rgb="FFBFC1C3"/>
      </bottom>
      <diagonal/>
    </border>
    <border>
      <left/>
      <right/>
      <top style="thick">
        <color rgb="FFBFC1C3"/>
      </top>
      <bottom/>
      <diagonal/>
    </border>
    <border>
      <left style="thin">
        <color rgb="FF455A64"/>
      </left>
      <right/>
      <top style="dashed">
        <color rgb="FFB0BEC5"/>
      </top>
      <bottom style="thick">
        <color rgb="FFBFC1C3"/>
      </bottom>
      <diagonal/>
    </border>
    <border>
      <left/>
      <right/>
      <top/>
      <bottom style="thick">
        <color rgb="FFBFC1C3"/>
      </bottom>
      <diagonal/>
    </border>
    <border>
      <left style="thin">
        <color auto="1"/>
      </left>
      <right/>
      <top style="dotted">
        <color rgb="FFBFC1C3"/>
      </top>
      <bottom style="dotted">
        <color rgb="FFBFC1C3"/>
      </bottom>
      <diagonal/>
    </border>
    <border>
      <left style="thin">
        <color auto="1"/>
      </left>
      <right/>
      <top style="dotted">
        <color rgb="FFBFC1C3"/>
      </top>
      <bottom style="thick">
        <color rgb="FFBFC1C3"/>
      </bottom>
      <diagonal/>
    </border>
    <border>
      <left style="thick">
        <color rgb="FFBFC1C3"/>
      </left>
      <right style="dotted">
        <color rgb="FF90A4AE"/>
      </right>
      <top style="dotted">
        <color rgb="FF90A4AE"/>
      </top>
      <bottom style="dotted">
        <color rgb="FF90A4AE"/>
      </bottom>
      <diagonal/>
    </border>
    <border>
      <left style="dotted">
        <color rgb="FF90A4AE"/>
      </left>
      <right style="dotted">
        <color rgb="FF90A4AE"/>
      </right>
      <top style="dotted">
        <color rgb="FF90A4AE"/>
      </top>
      <bottom style="dotted">
        <color rgb="FF90A4AE"/>
      </bottom>
      <diagonal/>
    </border>
    <border>
      <left style="dotted">
        <color rgb="FF90A4AE"/>
      </left>
      <right style="thick">
        <color rgb="FFBFC1C3"/>
      </right>
      <top style="dotted">
        <color rgb="FF90A4AE"/>
      </top>
      <bottom style="dotted">
        <color rgb="FF90A4AE"/>
      </bottom>
      <diagonal/>
    </border>
    <border>
      <left style="thick">
        <color rgb="FFBFC1C3"/>
      </left>
      <right style="dotted">
        <color rgb="FF90A4AE"/>
      </right>
      <top style="dotted">
        <color rgb="FF90A4AE"/>
      </top>
      <bottom style="thick">
        <color rgb="FFBFC1C3"/>
      </bottom>
      <diagonal/>
    </border>
    <border>
      <left style="dotted">
        <color rgb="FF90A4AE"/>
      </left>
      <right style="dotted">
        <color rgb="FF90A4AE"/>
      </right>
      <top style="dotted">
        <color rgb="FF90A4AE"/>
      </top>
      <bottom style="thick">
        <color rgb="FFBFC1C3"/>
      </bottom>
      <diagonal/>
    </border>
    <border>
      <left style="dotted">
        <color rgb="FF90A4AE"/>
      </left>
      <right style="thick">
        <color rgb="FFBFC1C3"/>
      </right>
      <top style="dotted">
        <color rgb="FF90A4AE"/>
      </top>
      <bottom style="thick">
        <color rgb="FFBFC1C3"/>
      </bottom>
      <diagonal/>
    </border>
    <border>
      <left style="thick">
        <color rgb="FFBFC1C3"/>
      </left>
      <right style="dotted">
        <color rgb="FF90A4AE"/>
      </right>
      <top/>
      <bottom style="dotted">
        <color rgb="FF90A4AE"/>
      </bottom>
      <diagonal/>
    </border>
    <border>
      <left style="dotted">
        <color rgb="FF90A4AE"/>
      </left>
      <right style="dotted">
        <color rgb="FF90A4AE"/>
      </right>
      <top/>
      <bottom style="dotted">
        <color rgb="FF90A4AE"/>
      </bottom>
      <diagonal/>
    </border>
    <border>
      <left style="dotted">
        <color rgb="FF90A4AE"/>
      </left>
      <right style="thick">
        <color rgb="FFBFC1C3"/>
      </right>
      <top/>
      <bottom style="dotted">
        <color rgb="FF90A4AE"/>
      </bottom>
      <diagonal/>
    </border>
    <border>
      <left style="dotted">
        <color rgb="FF90A4AE"/>
      </left>
      <right/>
      <top/>
      <bottom style="dotted">
        <color rgb="FF90A4AE"/>
      </bottom>
      <diagonal/>
    </border>
    <border>
      <left style="dotted">
        <color rgb="FF90A4AE"/>
      </left>
      <right/>
      <top style="dotted">
        <color rgb="FF90A4AE"/>
      </top>
      <bottom style="dotted">
        <color rgb="FF90A4AE"/>
      </bottom>
      <diagonal/>
    </border>
    <border>
      <left style="dotted">
        <color rgb="FF90A4AE"/>
      </left>
      <right/>
      <top style="dotted">
        <color rgb="FF90A4AE"/>
      </top>
      <bottom style="thick">
        <color rgb="FFBFC1C3"/>
      </bottom>
      <diagonal/>
    </border>
    <border>
      <left/>
      <right/>
      <top style="dashed">
        <color rgb="FFB0BEC5"/>
      </top>
      <bottom style="thick">
        <color rgb="FFBFC1C3"/>
      </bottom>
      <diagonal/>
    </border>
    <border>
      <left style="thick">
        <color rgb="FFBFC1C3"/>
      </left>
      <right style="thick">
        <color rgb="FFBFC1C3"/>
      </right>
      <top style="dashed">
        <color rgb="FFB0BEC5"/>
      </top>
      <bottom style="dotted">
        <color rgb="FFBFC1C3"/>
      </bottom>
      <diagonal/>
    </border>
    <border>
      <left style="thick">
        <color rgb="FFBFC1C3"/>
      </left>
      <right style="thick">
        <color rgb="FFBFC1C3"/>
      </right>
      <top style="thin">
        <color rgb="FFFF0000"/>
      </top>
      <bottom style="thin">
        <color rgb="FFFF0000"/>
      </bottom>
      <diagonal/>
    </border>
    <border>
      <left style="dashed">
        <color rgb="FF455A64"/>
      </left>
      <right/>
      <top/>
      <bottom style="dashed">
        <color rgb="FFB0BEC5"/>
      </bottom>
      <diagonal/>
    </border>
    <border>
      <left style="dashed">
        <color rgb="FFB0BEC5"/>
      </left>
      <right/>
      <top style="dashed">
        <color rgb="FFB0BEC5"/>
      </top>
      <bottom style="dashed">
        <color rgb="FFB0BEC5"/>
      </bottom>
      <diagonal/>
    </border>
    <border>
      <left/>
      <right/>
      <top/>
      <bottom style="dashed">
        <color rgb="FFB0BEC5"/>
      </bottom>
      <diagonal/>
    </border>
    <border>
      <left style="thick">
        <color rgb="FFBFC1C3"/>
      </left>
      <right/>
      <top/>
      <bottom style="dashed">
        <color rgb="FFB0BEC5"/>
      </bottom>
      <diagonal/>
    </border>
    <border>
      <left/>
      <right style="thin">
        <color rgb="FF455A64"/>
      </right>
      <top/>
      <bottom style="dashed">
        <color rgb="FFB0BEC5"/>
      </bottom>
      <diagonal/>
    </border>
    <border>
      <left style="thick">
        <color rgb="FFBFC1C3"/>
      </left>
      <right/>
      <top style="dashed">
        <color rgb="FFB0BEC5"/>
      </top>
      <bottom style="dashed">
        <color rgb="FFB0BEC5"/>
      </bottom>
      <diagonal/>
    </border>
    <border>
      <left/>
      <right style="thin">
        <color rgb="FF455A64"/>
      </right>
      <top style="dashed">
        <color rgb="FFB0BEC5"/>
      </top>
      <bottom style="dashed">
        <color rgb="FFB0BEC5"/>
      </bottom>
      <diagonal/>
    </border>
    <border>
      <left/>
      <right style="thin">
        <color rgb="FF455A64"/>
      </right>
      <top style="dashed">
        <color rgb="FFB0BEC5"/>
      </top>
      <bottom style="thick">
        <color rgb="FFBFC1C3"/>
      </bottom>
      <diagonal/>
    </border>
    <border>
      <left style="thin">
        <color rgb="FF455A64"/>
      </left>
      <right/>
      <top style="dashed">
        <color rgb="FFB0BEC5"/>
      </top>
      <bottom style="dashed">
        <color rgb="FFB0BEC5"/>
      </bottom>
      <diagonal/>
    </border>
    <border>
      <left style="thick">
        <color rgb="FFBFC1C3"/>
      </left>
      <right/>
      <top/>
      <bottom style="dotted">
        <color rgb="FF90A4AE"/>
      </bottom>
      <diagonal/>
    </border>
    <border>
      <left style="thick">
        <color rgb="FFBFC1C3"/>
      </left>
      <right/>
      <top style="dotted">
        <color rgb="FF90A4AE"/>
      </top>
      <bottom style="dotted">
        <color rgb="FF90A4AE"/>
      </bottom>
      <diagonal/>
    </border>
    <border>
      <left style="thick">
        <color rgb="FFBFC1C3"/>
      </left>
      <right/>
      <top style="dotted">
        <color rgb="FF90A4AE"/>
      </top>
      <bottom style="thick">
        <color rgb="FFBFC1C3"/>
      </bottom>
      <diagonal/>
    </border>
    <border>
      <left style="dotted">
        <color rgb="FF90A4AE"/>
      </left>
      <right/>
      <top/>
      <bottom/>
      <diagonal/>
    </border>
    <border>
      <left/>
      <right style="thin">
        <color auto="1"/>
      </right>
      <top/>
      <bottom/>
      <diagonal/>
    </border>
    <border>
      <left/>
      <right style="thin">
        <color auto="1"/>
      </right>
      <top/>
      <bottom style="thick">
        <color rgb="FFBFC1C3"/>
      </bottom>
      <diagonal/>
    </border>
    <border>
      <left style="thick">
        <color rgb="FFBFC1C3"/>
      </left>
      <right/>
      <top style="dotted">
        <color rgb="FFBFC1C3"/>
      </top>
      <bottom style="thick">
        <color rgb="FFBFC1C3"/>
      </bottom>
      <diagonal/>
    </border>
    <border>
      <left/>
      <right/>
      <top style="dotted">
        <color rgb="FFBFC1C3"/>
      </top>
      <bottom style="thick">
        <color rgb="FFBFC1C3"/>
      </bottom>
      <diagonal/>
    </border>
    <border>
      <left/>
      <right/>
      <top style="dotted">
        <color rgb="FFBFC1C3"/>
      </top>
      <bottom style="dotted">
        <color rgb="FFBFC1C3"/>
      </bottom>
      <diagonal/>
    </border>
    <border>
      <left/>
      <right style="dashed">
        <color rgb="FFB0BEC5"/>
      </right>
      <top style="dashed">
        <color rgb="FFB0BEC5"/>
      </top>
      <bottom style="dashed">
        <color rgb="FFB0BEC5"/>
      </bottom>
      <diagonal/>
    </border>
    <border>
      <left style="thin">
        <color rgb="FF455A64"/>
      </left>
      <right/>
      <top/>
      <bottom style="dashed">
        <color rgb="FFB0BEC5"/>
      </bottom>
      <diagonal/>
    </border>
    <border>
      <left/>
      <right style="thick">
        <color rgb="FFBFC1C3"/>
      </right>
      <top/>
      <bottom style="dashed">
        <color rgb="FFB0BEC5"/>
      </bottom>
      <diagonal/>
    </border>
    <border>
      <left/>
      <right style="thick">
        <color rgb="FFBFC1C3"/>
      </right>
      <top style="dashed">
        <color rgb="FFB0BEC5"/>
      </top>
      <bottom style="dashed">
        <color rgb="FFB0BEC5"/>
      </bottom>
      <diagonal/>
    </border>
    <border>
      <left/>
      <right style="thick">
        <color rgb="FFBFC1C3"/>
      </right>
      <top style="dashed">
        <color rgb="FFB0BEC5"/>
      </top>
      <bottom style="thick">
        <color rgb="FFBFC1C3"/>
      </bottom>
      <diagonal/>
    </border>
    <border>
      <left style="dashed">
        <color rgb="FFB0BEC5"/>
      </left>
      <right style="dashed">
        <color rgb="FFB0BEC5"/>
      </right>
      <top style="dashed">
        <color rgb="FFB0BEC5"/>
      </top>
      <bottom style="dashed">
        <color rgb="FFB0BEC5"/>
      </bottom>
      <diagonal/>
    </border>
    <border>
      <left style="thin">
        <color rgb="FF455A64"/>
      </left>
      <right style="dashed">
        <color rgb="FFB0BEC5"/>
      </right>
      <top style="dashed">
        <color rgb="FFB0BEC5"/>
      </top>
      <bottom style="thick">
        <color rgb="FFBFC1C3"/>
      </bottom>
      <diagonal/>
    </border>
    <border>
      <left style="dashed">
        <color rgb="FFB0BEC5"/>
      </left>
      <right style="dashed">
        <color rgb="FFB0BEC5"/>
      </right>
      <top style="dashed">
        <color rgb="FFB0BEC5"/>
      </top>
      <bottom style="thick">
        <color rgb="FFBFC1C3"/>
      </bottom>
      <diagonal/>
    </border>
    <border>
      <left/>
      <right/>
      <top/>
      <bottom style="dotted">
        <color rgb="FFBFC1C3"/>
      </bottom>
      <diagonal/>
    </border>
    <border>
      <left/>
      <right style="dashed">
        <color rgb="FF455A64"/>
      </right>
      <top/>
      <bottom/>
      <diagonal/>
    </border>
    <border>
      <left style="thick">
        <color rgb="FFBFC1C3"/>
      </left>
      <right/>
      <top style="dashed">
        <color rgb="FFB0BEC5"/>
      </top>
      <bottom style="dashed">
        <color rgb="FFBFC1C3"/>
      </bottom>
      <diagonal/>
    </border>
    <border>
      <left/>
      <right style="thick">
        <color rgb="FFBFC1C3"/>
      </right>
      <top style="dashed">
        <color rgb="FFB0BEC5"/>
      </top>
      <bottom style="dashed">
        <color rgb="FFBFC1C3"/>
      </bottom>
      <diagonal/>
    </border>
    <border>
      <left/>
      <right/>
      <top style="dashed">
        <color rgb="FFB0BEC5"/>
      </top>
      <bottom style="dashed">
        <color rgb="FFBFC1C3"/>
      </bottom>
      <diagonal/>
    </border>
    <border>
      <left/>
      <right style="thick">
        <color rgb="FFBFC1C3"/>
      </right>
      <top style="dashed">
        <color rgb="FFB0BEC5"/>
      </top>
      <bottom/>
      <diagonal/>
    </border>
    <border>
      <left/>
      <right/>
      <top style="dashed">
        <color rgb="FFB0BEC5"/>
      </top>
      <bottom style="dashed">
        <color rgb="FFB0BEC5"/>
      </bottom>
      <diagonal/>
    </border>
    <border>
      <left/>
      <right/>
      <top style="thick">
        <color rgb="FFBFC1C3"/>
      </top>
      <bottom style="thick">
        <color rgb="FFBFC1C3"/>
      </bottom>
      <diagonal/>
    </border>
    <border>
      <left style="dashed">
        <color rgb="FFB0BEC5"/>
      </left>
      <right/>
      <top/>
      <bottom style="dashed">
        <color rgb="FFB0BEC5"/>
      </bottom>
      <diagonal/>
    </border>
    <border>
      <left/>
      <right style="dashed">
        <color rgb="FFB0BEC5"/>
      </right>
      <top/>
      <bottom style="dashed">
        <color rgb="FFB0BEC5"/>
      </bottom>
      <diagonal/>
    </border>
    <border>
      <left style="thin">
        <color rgb="FF455A64"/>
      </left>
      <right style="thick">
        <color rgb="FFBFC1C3"/>
      </right>
      <top/>
      <bottom style="dashed">
        <color rgb="FFB0BEC5"/>
      </bottom>
      <diagonal/>
    </border>
    <border>
      <left style="thin">
        <color rgb="FF455A64"/>
      </left>
      <right style="thick">
        <color rgb="FFBFC1C3"/>
      </right>
      <top style="dashed">
        <color rgb="FFB0BEC5"/>
      </top>
      <bottom style="dashed">
        <color rgb="FFB0BEC5"/>
      </bottom>
      <diagonal/>
    </border>
    <border>
      <left style="thick">
        <color rgb="FFBFC1C3"/>
      </left>
      <right/>
      <top style="dashed">
        <color rgb="FFBFC1C3"/>
      </top>
      <bottom/>
      <diagonal/>
    </border>
    <border>
      <left/>
      <right/>
      <top style="dashed">
        <color rgb="FFBFC1C3"/>
      </top>
      <bottom/>
      <diagonal/>
    </border>
    <border>
      <left/>
      <right style="thick">
        <color rgb="FFBFC1C3"/>
      </right>
      <top style="dashed">
        <color rgb="FFBFC1C3"/>
      </top>
      <bottom/>
      <diagonal/>
    </border>
    <border>
      <left style="dashed">
        <color rgb="FFB0BEC5"/>
      </left>
      <right style="dashed">
        <color rgb="FFB0BEC5"/>
      </right>
      <top/>
      <bottom style="dashed">
        <color rgb="FFB0BEC5"/>
      </bottom>
      <diagonal/>
    </border>
    <border>
      <left style="dashed">
        <color rgb="FFB0BEC5"/>
      </left>
      <right style="thick">
        <color rgb="FFBFC1C3"/>
      </right>
      <top style="dashed">
        <color rgb="FFB0BEC5"/>
      </top>
      <bottom style="dashed">
        <color rgb="FFB0BEC5"/>
      </bottom>
      <diagonal/>
    </border>
    <border>
      <left style="dashed">
        <color rgb="FFB0BEC5"/>
      </left>
      <right style="dashed">
        <color rgb="FFB0BEC5"/>
      </right>
      <top/>
      <bottom style="dashed">
        <color rgb="FFBFC1C3"/>
      </bottom>
      <diagonal/>
    </border>
    <border>
      <left style="dashed">
        <color rgb="FFB0BEC5"/>
      </left>
      <right style="dashed">
        <color rgb="FFB0BEC5"/>
      </right>
      <top style="dashed">
        <color rgb="FFBFC1C3"/>
      </top>
      <bottom style="dashed">
        <color rgb="FFBFC1C3"/>
      </bottom>
      <diagonal/>
    </border>
    <border>
      <left style="dashed">
        <color rgb="FFB0BEC5"/>
      </left>
      <right style="dashed">
        <color rgb="FFB0BEC5"/>
      </right>
      <top style="dashed">
        <color rgb="FFBFC1C3"/>
      </top>
      <bottom style="thick">
        <color rgb="FFBFC1C3"/>
      </bottom>
      <diagonal/>
    </border>
    <border>
      <left style="thin">
        <color rgb="FF455A64"/>
      </left>
      <right/>
      <top/>
      <bottom/>
      <diagonal/>
    </border>
    <border>
      <left/>
      <right style="thick">
        <color rgb="FFB0BEC5"/>
      </right>
      <top style="dashed">
        <color rgb="FFB0BEC5"/>
      </top>
      <bottom style="dashed">
        <color rgb="FFB0BEC5"/>
      </bottom>
      <diagonal/>
    </border>
    <border>
      <left style="dashed">
        <color rgb="FFB0BEC5"/>
      </left>
      <right style="dashed">
        <color rgb="FFB0BEC5"/>
      </right>
      <top style="dashed">
        <color rgb="FFB0BEC5"/>
      </top>
      <bottom style="thick">
        <color rgb="FFB0BEC5"/>
      </bottom>
      <diagonal/>
    </border>
    <border>
      <left/>
      <right style="thin">
        <color rgb="FF455A64"/>
      </right>
      <top/>
      <bottom/>
      <diagonal/>
    </border>
    <border>
      <left style="thin">
        <color indexed="64"/>
      </left>
      <right style="thin">
        <color indexed="64"/>
      </right>
      <top/>
      <bottom style="thick">
        <color rgb="FFBFC1C3"/>
      </bottom>
      <diagonal/>
    </border>
    <border>
      <left style="thin">
        <color auto="1"/>
      </left>
      <right/>
      <top/>
      <bottom/>
      <diagonal/>
    </border>
    <border>
      <left style="thin">
        <color theme="1"/>
      </left>
      <right style="thick">
        <color rgb="FFBFC1C3"/>
      </right>
      <top/>
      <bottom style="dotted">
        <color rgb="FFBFC1C3"/>
      </bottom>
      <diagonal/>
    </border>
    <border>
      <left style="thin">
        <color theme="1"/>
      </left>
      <right style="thick">
        <color rgb="FFBFC1C3"/>
      </right>
      <top style="dotted">
        <color rgb="FFBFC1C3"/>
      </top>
      <bottom style="thick">
        <color rgb="FFBFC1C3"/>
      </bottom>
      <diagonal/>
    </border>
    <border>
      <left style="thick">
        <color rgb="FFBFC1C3"/>
      </left>
      <right style="thick">
        <color rgb="FFBFC1C3"/>
      </right>
      <top/>
      <bottom style="dotted">
        <color rgb="FF90A4AE"/>
      </bottom>
      <diagonal/>
    </border>
    <border>
      <left/>
      <right style="thin">
        <color rgb="FF455A64"/>
      </right>
      <top/>
      <bottom style="dotted">
        <color rgb="FFBFC1C3"/>
      </bottom>
      <diagonal/>
    </border>
    <border>
      <left/>
      <right style="thin">
        <color auto="1"/>
      </right>
      <top style="dotted">
        <color rgb="FFBFC1C3"/>
      </top>
      <bottom style="dotted">
        <color rgb="FFBFC1C3"/>
      </bottom>
      <diagonal/>
    </border>
    <border>
      <left/>
      <right style="thin">
        <color rgb="FF455A64"/>
      </right>
      <top style="dotted">
        <color rgb="FFBFC1C3"/>
      </top>
      <bottom style="thick">
        <color rgb="FFBFC1C3"/>
      </bottom>
      <diagonal/>
    </border>
    <border>
      <left style="thick">
        <color rgb="FFB0BEC5"/>
      </left>
      <right/>
      <top style="thick">
        <color rgb="FFB0BEC5"/>
      </top>
      <bottom/>
      <diagonal/>
    </border>
    <border>
      <left/>
      <right/>
      <top style="thick">
        <color rgb="FFB0BEC5"/>
      </top>
      <bottom/>
      <diagonal/>
    </border>
    <border>
      <left/>
      <right style="thick">
        <color rgb="FFB0BEC5"/>
      </right>
      <top style="thick">
        <color rgb="FFB0BEC5"/>
      </top>
      <bottom/>
      <diagonal/>
    </border>
    <border>
      <left style="thick">
        <color rgb="FFB0BEC5"/>
      </left>
      <right/>
      <top/>
      <bottom/>
      <diagonal/>
    </border>
    <border>
      <left style="thin">
        <color rgb="FF455A64"/>
      </left>
      <right style="thick">
        <color rgb="FFB0BEC5"/>
      </right>
      <top/>
      <bottom/>
      <diagonal/>
    </border>
    <border>
      <left style="thin">
        <color rgb="FF455A64"/>
      </left>
      <right style="thick">
        <color rgb="FFB0BEC5"/>
      </right>
      <top style="dashed">
        <color rgb="FFB0BEC5"/>
      </top>
      <bottom/>
      <diagonal/>
    </border>
    <border>
      <left style="thin">
        <color rgb="FF455A64"/>
      </left>
      <right style="thick">
        <color rgb="FFB0BEC5"/>
      </right>
      <top style="medium">
        <color rgb="FF6F777B"/>
      </top>
      <bottom style="thick">
        <color rgb="FFB0BEC5"/>
      </bottom>
      <diagonal/>
    </border>
    <border>
      <left style="thin">
        <color auto="1"/>
      </left>
      <right/>
      <top style="thin">
        <color auto="1"/>
      </top>
      <bottom style="dotted">
        <color rgb="FFBFC1C3"/>
      </bottom>
      <diagonal/>
    </border>
    <border>
      <left style="thick">
        <color rgb="FFBFC1C3"/>
      </left>
      <right style="thick">
        <color rgb="FFBFC1C3"/>
      </right>
      <top style="dotted">
        <color rgb="FF90A4AE"/>
      </top>
      <bottom style="dotted">
        <color rgb="FFBFC1C3"/>
      </bottom>
      <diagonal/>
    </border>
    <border>
      <left style="thick">
        <color rgb="FFBFC1C3"/>
      </left>
      <right style="thick">
        <color rgb="FFBFC1C3"/>
      </right>
      <top style="dotted">
        <color rgb="FFBFC1C3"/>
      </top>
      <bottom style="thick">
        <color rgb="FFBFC1C3"/>
      </bottom>
      <diagonal/>
    </border>
    <border>
      <left style="thick">
        <color rgb="FFBFC1C3"/>
      </left>
      <right style="thick">
        <color rgb="FFBFC1C3"/>
      </right>
      <top style="dotted">
        <color rgb="FF90A4AE"/>
      </top>
      <bottom style="thick">
        <color rgb="FFBFC1C3"/>
      </bottom>
      <diagonal/>
    </border>
    <border>
      <left style="dotted">
        <color rgb="FF90A4AE"/>
      </left>
      <right style="thick">
        <color rgb="FFBFC1C3"/>
      </right>
      <top style="dotted">
        <color rgb="FF90A4AE"/>
      </top>
      <bottom style="thick">
        <color rgb="FFB0BEC5"/>
      </bottom>
      <diagonal/>
    </border>
    <border>
      <left/>
      <right/>
      <top/>
      <bottom style="dotted">
        <color rgb="FF90A4AE"/>
      </bottom>
      <diagonal/>
    </border>
    <border>
      <left style="thin">
        <color auto="1"/>
      </left>
      <right/>
      <top style="dotted">
        <color rgb="FF90A4AE"/>
      </top>
      <bottom style="dotted">
        <color rgb="FF90A4AE"/>
      </bottom>
      <diagonal/>
    </border>
    <border>
      <left/>
      <right style="thin">
        <color auto="1"/>
      </right>
      <top style="dotted">
        <color rgb="FF90A4AE"/>
      </top>
      <bottom style="dotted">
        <color rgb="FF90A4AE"/>
      </bottom>
      <diagonal/>
    </border>
    <border>
      <left style="thin">
        <color auto="1"/>
      </left>
      <right/>
      <top style="dotted">
        <color rgb="FF90A4AE"/>
      </top>
      <bottom style="thick">
        <color rgb="FFBFC1C3"/>
      </bottom>
      <diagonal/>
    </border>
    <border>
      <left/>
      <right/>
      <top style="dotted">
        <color rgb="FF90A4AE"/>
      </top>
      <bottom style="thick">
        <color rgb="FFBFC1C3"/>
      </bottom>
      <diagonal/>
    </border>
    <border>
      <left/>
      <right style="thick">
        <color rgb="FFBFC1C3"/>
      </right>
      <top style="dotted">
        <color rgb="FF90A4AE"/>
      </top>
      <bottom style="thick">
        <color rgb="FFBFC1C3"/>
      </bottom>
      <diagonal/>
    </border>
    <border>
      <left style="thin">
        <color auto="1"/>
      </left>
      <right style="thin">
        <color indexed="64"/>
      </right>
      <top/>
      <bottom/>
      <diagonal/>
    </border>
    <border>
      <left/>
      <right style="thick">
        <color rgb="FFBFC1C3"/>
      </right>
      <top style="dotted">
        <color rgb="FFBFC1C3"/>
      </top>
      <bottom style="thick">
        <color rgb="FFBFC1C3"/>
      </bottom>
      <diagonal/>
    </border>
    <border>
      <left style="thin">
        <color theme="1"/>
      </left>
      <right/>
      <top style="dotted">
        <color rgb="FF90A4AE"/>
      </top>
      <bottom style="thick">
        <color rgb="FFBFC1C3"/>
      </bottom>
      <diagonal/>
    </border>
    <border>
      <left style="thick">
        <color rgb="FFBFC1C3"/>
      </left>
      <right/>
      <top/>
      <bottom style="dashed">
        <color rgb="FFBFC1C3"/>
      </bottom>
      <diagonal/>
    </border>
    <border>
      <left/>
      <right style="thin">
        <color rgb="FF455A64"/>
      </right>
      <top/>
      <bottom style="dashed">
        <color rgb="FFBFC1C3"/>
      </bottom>
      <diagonal/>
    </border>
    <border>
      <left style="thick">
        <color rgb="FFBFC1C3"/>
      </left>
      <right/>
      <top style="dashed">
        <color rgb="FFBFC1C3"/>
      </top>
      <bottom style="dashed">
        <color rgb="FFBFC1C3"/>
      </bottom>
      <diagonal/>
    </border>
    <border>
      <left/>
      <right style="thin">
        <color rgb="FF455A64"/>
      </right>
      <top style="dashed">
        <color rgb="FFBFC1C3"/>
      </top>
      <bottom style="dashed">
        <color rgb="FFBFC1C3"/>
      </bottom>
      <diagonal/>
    </border>
    <border>
      <left style="thick">
        <color rgb="FFBFC1C3"/>
      </left>
      <right/>
      <top style="dashed">
        <color rgb="FFBFC1C3"/>
      </top>
      <bottom style="thick">
        <color rgb="FFBFC1C3"/>
      </bottom>
      <diagonal/>
    </border>
    <border>
      <left/>
      <right style="thin">
        <color rgb="FF455A64"/>
      </right>
      <top style="dashed">
        <color rgb="FFBFC1C3"/>
      </top>
      <bottom style="thick">
        <color rgb="FFBFC1C3"/>
      </bottom>
      <diagonal/>
    </border>
    <border>
      <left/>
      <right/>
      <top/>
      <bottom style="dashed">
        <color rgb="FFBFC1C3"/>
      </bottom>
      <diagonal/>
    </border>
    <border>
      <left/>
      <right/>
      <top style="dashed">
        <color rgb="FFBFC1C3"/>
      </top>
      <bottom style="dashed">
        <color rgb="FFBFC1C3"/>
      </bottom>
      <diagonal/>
    </border>
    <border>
      <left/>
      <right/>
      <top style="dashed">
        <color rgb="FFBFC1C3"/>
      </top>
      <bottom style="thick">
        <color rgb="FFBFC1C3"/>
      </bottom>
      <diagonal/>
    </border>
    <border>
      <left style="thin">
        <color rgb="FF455A64"/>
      </left>
      <right/>
      <top/>
      <bottom style="thick">
        <color rgb="FFBFC1C3"/>
      </bottom>
      <diagonal/>
    </border>
    <border>
      <left style="thin">
        <color auto="1"/>
      </left>
      <right/>
      <top style="thin">
        <color indexed="64"/>
      </top>
      <bottom style="dotted">
        <color rgb="FF90A4AE"/>
      </bottom>
      <diagonal/>
    </border>
    <border>
      <left/>
      <right style="thin">
        <color auto="1"/>
      </right>
      <top style="thin">
        <color indexed="64"/>
      </top>
      <bottom style="dotted">
        <color rgb="FF90A4AE"/>
      </bottom>
      <diagonal/>
    </border>
    <border>
      <left/>
      <right style="thin">
        <color theme="1"/>
      </right>
      <top style="thin">
        <color indexed="64"/>
      </top>
      <bottom style="dotted">
        <color rgb="FFBFC1C3"/>
      </bottom>
      <diagonal/>
    </border>
    <border>
      <left/>
      <right style="thin">
        <color auto="1"/>
      </right>
      <top style="thin">
        <color indexed="64"/>
      </top>
      <bottom style="dotted">
        <color rgb="FFBFC1C3"/>
      </bottom>
      <diagonal/>
    </border>
    <border>
      <left/>
      <right/>
      <top style="thin">
        <color indexed="64"/>
      </top>
      <bottom style="dotted">
        <color rgb="FF90A4AE"/>
      </bottom>
      <diagonal/>
    </border>
    <border>
      <left style="thin">
        <color theme="1"/>
      </left>
      <right/>
      <top style="thin">
        <color indexed="64"/>
      </top>
      <bottom style="dotted">
        <color rgb="FF90A4AE"/>
      </bottom>
      <diagonal/>
    </border>
    <border>
      <left/>
      <right style="thick">
        <color rgb="FFBFC1C3"/>
      </right>
      <top style="thin">
        <color indexed="64"/>
      </top>
      <bottom style="dotted">
        <color rgb="FF90A4AE"/>
      </bottom>
      <diagonal/>
    </border>
    <border>
      <left/>
      <right style="thin">
        <color theme="1"/>
      </right>
      <top style="dotted">
        <color rgb="FFBFC1C3"/>
      </top>
      <bottom style="thick">
        <color rgb="FFBFC1C3"/>
      </bottom>
      <diagonal/>
    </border>
    <border>
      <left style="dotted">
        <color rgb="FF90A4AE"/>
      </left>
      <right style="dotted">
        <color rgb="FF90A4AE"/>
      </right>
      <top style="dotted">
        <color rgb="FF90A4AE"/>
      </top>
      <bottom style="thick">
        <color rgb="FFB0BEC5"/>
      </bottom>
      <diagonal/>
    </border>
    <border>
      <left/>
      <right style="thin">
        <color rgb="FF455A64"/>
      </right>
      <top style="dashed">
        <color rgb="FFB0BEC5"/>
      </top>
      <bottom/>
      <diagonal/>
    </border>
    <border>
      <left/>
      <right style="thin">
        <color rgb="FF455A64"/>
      </right>
      <top/>
      <bottom style="thick">
        <color rgb="FFBFC1C3"/>
      </bottom>
      <diagonal/>
    </border>
    <border>
      <left style="thin">
        <color rgb="FF455A64"/>
      </left>
      <right style="thin">
        <color rgb="FF455A64"/>
      </right>
      <top/>
      <bottom/>
      <diagonal/>
    </border>
    <border>
      <left/>
      <right style="thin">
        <color rgb="FF455A64"/>
      </right>
      <top style="dashed">
        <color rgb="FFB0BEC5"/>
      </top>
      <bottom style="dotted">
        <color rgb="FFBFC1C3"/>
      </bottom>
      <diagonal/>
    </border>
    <border>
      <left style="thick">
        <color rgb="FFB0BEC5"/>
      </left>
      <right/>
      <top style="dashed">
        <color rgb="FFB0BEC5"/>
      </top>
      <bottom style="thick">
        <color rgb="FFB0BEC5"/>
      </bottom>
      <diagonal/>
    </border>
    <border>
      <left/>
      <right style="thin">
        <color rgb="FF455A64"/>
      </right>
      <top style="dashed">
        <color rgb="FFB0BEC5"/>
      </top>
      <bottom style="thick">
        <color rgb="FFB0BEC5"/>
      </bottom>
      <diagonal/>
    </border>
    <border>
      <left style="thin">
        <color rgb="FF455A64"/>
      </left>
      <right style="thin">
        <color rgb="FF455A64"/>
      </right>
      <top style="dashed">
        <color rgb="FFB0BEC5"/>
      </top>
      <bottom style="thick">
        <color rgb="FFBFC1C3"/>
      </bottom>
      <diagonal/>
    </border>
    <border>
      <left style="thin">
        <color rgb="FF455A64"/>
      </left>
      <right style="thin">
        <color rgb="FF455A64"/>
      </right>
      <top/>
      <bottom style="thin">
        <color rgb="FF455A64"/>
      </bottom>
      <diagonal/>
    </border>
    <border>
      <left style="dashed">
        <color rgb="FF455A64"/>
      </left>
      <right style="thin">
        <color rgb="FF455A64"/>
      </right>
      <top/>
      <bottom/>
      <diagonal/>
    </border>
    <border>
      <left style="dashed">
        <color rgb="FFB0BEC5"/>
      </left>
      <right style="thin">
        <color rgb="FF455A64"/>
      </right>
      <top/>
      <bottom style="dashed">
        <color rgb="FFB0BEC5"/>
      </bottom>
      <diagonal/>
    </border>
    <border>
      <left/>
      <right style="thick">
        <color rgb="FFBFC1C3"/>
      </right>
      <top/>
      <bottom style="dotted">
        <color rgb="FFBFC1C3"/>
      </bottom>
      <diagonal/>
    </border>
    <border>
      <left style="thin">
        <color rgb="FF455A64"/>
      </left>
      <right/>
      <top style="thin">
        <color rgb="FF455A64"/>
      </top>
      <bottom/>
      <diagonal/>
    </border>
    <border>
      <left/>
      <right/>
      <top style="thin">
        <color rgb="FF455A64"/>
      </top>
      <bottom/>
      <diagonal/>
    </border>
    <border>
      <left style="thin">
        <color rgb="FF455A64"/>
      </left>
      <right/>
      <top style="dotted">
        <color rgb="FFBFC1C3"/>
      </top>
      <bottom style="dotted">
        <color rgb="FFBFC1C3"/>
      </bottom>
      <diagonal/>
    </border>
    <border>
      <left/>
      <right/>
      <top style="dotted">
        <color rgb="FF90A4AE"/>
      </top>
      <bottom style="dotted">
        <color rgb="FF90A4AE"/>
      </bottom>
      <diagonal/>
    </border>
    <border>
      <left style="thin">
        <color rgb="FF455A64"/>
      </left>
      <right style="thin">
        <color rgb="FF455A64"/>
      </right>
      <top style="thin">
        <color rgb="FF455A64"/>
      </top>
      <bottom style="dashed">
        <color rgb="FFB0BEC5"/>
      </bottom>
      <diagonal/>
    </border>
    <border>
      <left style="thin">
        <color rgb="FF455A64"/>
      </left>
      <right style="thin">
        <color rgb="FF455A64"/>
      </right>
      <top style="dashed">
        <color rgb="FFB0BEC5"/>
      </top>
      <bottom style="dashed">
        <color rgb="FFB0BEC5"/>
      </bottom>
      <diagonal/>
    </border>
    <border>
      <left style="thin">
        <color rgb="FF455A64"/>
      </left>
      <right/>
      <top style="dotted">
        <color rgb="FFBFC1C3"/>
      </top>
      <bottom style="thick">
        <color rgb="FFBFC1C3"/>
      </bottom>
      <diagonal/>
    </border>
    <border>
      <left style="thick">
        <color rgb="FFBFC1C3"/>
      </left>
      <right style="thin">
        <color rgb="FF455A64"/>
      </right>
      <top/>
      <bottom style="thin">
        <color rgb="FF455A64"/>
      </bottom>
      <diagonal/>
    </border>
    <border>
      <left style="thin">
        <color rgb="FF455A64"/>
      </left>
      <right style="thick">
        <color rgb="FFBFC1C3"/>
      </right>
      <top/>
      <bottom style="thin">
        <color rgb="FF455A64"/>
      </bottom>
      <diagonal/>
    </border>
    <border>
      <left style="thin">
        <color rgb="FF455A64"/>
      </left>
      <right/>
      <top style="thin">
        <color rgb="FF455A64"/>
      </top>
      <bottom style="dotted">
        <color rgb="FFBFC1C3"/>
      </bottom>
      <diagonal/>
    </border>
    <border>
      <left/>
      <right style="thin">
        <color rgb="FF455A64"/>
      </right>
      <top style="thin">
        <color rgb="FF455A64"/>
      </top>
      <bottom style="dotted">
        <color rgb="FFBFC1C3"/>
      </bottom>
      <diagonal/>
    </border>
    <border>
      <left style="thick">
        <color rgb="FFDEE0E2"/>
      </left>
      <right/>
      <top style="thick">
        <color rgb="FFDEE0E2"/>
      </top>
      <bottom/>
      <diagonal/>
    </border>
    <border>
      <left style="thick">
        <color rgb="FFDEE0E2"/>
      </left>
      <right/>
      <top/>
      <bottom/>
      <diagonal/>
    </border>
    <border>
      <left style="thick">
        <color rgb="FFDEE0E2"/>
      </left>
      <right/>
      <top/>
      <bottom style="thick">
        <color rgb="FFDEE0E2"/>
      </bottom>
      <diagonal/>
    </border>
    <border>
      <left style="thin">
        <color rgb="FF455A64"/>
      </left>
      <right style="thin">
        <color rgb="FF455A64"/>
      </right>
      <top style="thin">
        <color rgb="FF455A64"/>
      </top>
      <bottom style="thick">
        <color rgb="FFBFC1C3"/>
      </bottom>
      <diagonal/>
    </border>
    <border>
      <left style="thick">
        <color rgb="FFBFC1C3"/>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style="thin">
        <color indexed="64"/>
      </bottom>
      <diagonal/>
    </border>
    <border>
      <left/>
      <right style="thick">
        <color rgb="FFBFC1C3"/>
      </right>
      <top/>
      <bottom style="thin">
        <color indexed="64"/>
      </bottom>
      <diagonal/>
    </border>
    <border>
      <left style="dashed">
        <color rgb="FF455A64"/>
      </left>
      <right style="dashed">
        <color rgb="FF455A64"/>
      </right>
      <top/>
      <bottom/>
      <diagonal/>
    </border>
    <border>
      <left/>
      <right style="dashed">
        <color auto="1"/>
      </right>
      <top/>
      <bottom/>
      <diagonal/>
    </border>
    <border>
      <left style="thin">
        <color rgb="FF455A64"/>
      </left>
      <right style="dashed">
        <color rgb="FFB0BEC5"/>
      </right>
      <top/>
      <bottom style="dashed">
        <color rgb="FFB0BEC5"/>
      </bottom>
      <diagonal/>
    </border>
    <border>
      <left style="dashed">
        <color rgb="FF455A64"/>
      </left>
      <right style="dashed">
        <color rgb="FF455A64"/>
      </right>
      <top/>
      <bottom style="dashed">
        <color rgb="FFBFC1C3"/>
      </bottom>
      <diagonal/>
    </border>
    <border>
      <left style="dashed">
        <color rgb="FF455A64"/>
      </left>
      <right/>
      <top/>
      <bottom style="dashed">
        <color rgb="FFBFC1C3"/>
      </bottom>
      <diagonal/>
    </border>
    <border>
      <left/>
      <right style="dashed">
        <color auto="1"/>
      </right>
      <top/>
      <bottom style="dashed">
        <color rgb="FFBFC1C3"/>
      </bottom>
      <diagonal/>
    </border>
    <border>
      <left/>
      <right style="dashed">
        <color rgb="FF455A64"/>
      </right>
      <top/>
      <bottom style="dashed">
        <color rgb="FFBFC1C3"/>
      </bottom>
      <diagonal/>
    </border>
    <border>
      <left style="dashed">
        <color rgb="FF455A64"/>
      </left>
      <right/>
      <top/>
      <bottom style="dashed">
        <color rgb="FF455A64"/>
      </bottom>
      <diagonal/>
    </border>
    <border>
      <left/>
      <right/>
      <top/>
      <bottom style="dashed">
        <color rgb="FF455A64"/>
      </bottom>
      <diagonal/>
    </border>
    <border>
      <left style="medium">
        <color auto="1"/>
      </left>
      <right/>
      <top/>
      <bottom/>
      <diagonal/>
    </border>
    <border>
      <left style="medium">
        <color auto="1"/>
      </left>
      <right/>
      <top/>
      <bottom style="thick">
        <color rgb="FFBFC1C3"/>
      </bottom>
      <diagonal/>
    </border>
    <border>
      <left style="dashed">
        <color rgb="FFB0BEC5"/>
      </left>
      <right/>
      <top style="dashed">
        <color rgb="FFBFC1C3"/>
      </top>
      <bottom style="dashed">
        <color rgb="FFBFC1C3"/>
      </bottom>
      <diagonal/>
    </border>
    <border>
      <left style="dashed">
        <color rgb="FFB0BEC5"/>
      </left>
      <right/>
      <top style="dashed">
        <color rgb="FFBFC1C3"/>
      </top>
      <bottom style="thick">
        <color rgb="FFBFC1C3"/>
      </bottom>
      <diagonal/>
    </border>
    <border>
      <left/>
      <right style="dashed">
        <color rgb="FFB0BEC5"/>
      </right>
      <top style="dashed">
        <color rgb="FFB0BEC5"/>
      </top>
      <bottom/>
      <diagonal/>
    </border>
    <border>
      <left style="dashed">
        <color rgb="FFBFC1C3"/>
      </left>
      <right style="dashed">
        <color rgb="FFBFC1C3"/>
      </right>
      <top/>
      <bottom style="dashed">
        <color rgb="FFBFC1C3"/>
      </bottom>
      <diagonal/>
    </border>
    <border>
      <left style="dashed">
        <color rgb="FFBFC1C3"/>
      </left>
      <right style="dashed">
        <color rgb="FFBFC1C3"/>
      </right>
      <top style="dashed">
        <color rgb="FFBFC1C3"/>
      </top>
      <bottom style="dashed">
        <color rgb="FFBFC1C3"/>
      </bottom>
      <diagonal/>
    </border>
    <border>
      <left/>
      <right style="dashed">
        <color rgb="FFBFC1C3"/>
      </right>
      <top style="dashed">
        <color rgb="FFBFC1C3"/>
      </top>
      <bottom style="thick">
        <color rgb="FFBFC1C3"/>
      </bottom>
      <diagonal/>
    </border>
    <border>
      <left style="dashed">
        <color rgb="FFBFC1C3"/>
      </left>
      <right style="dashed">
        <color rgb="FFBFC1C3"/>
      </right>
      <top style="dashed">
        <color rgb="FFBFC1C3"/>
      </top>
      <bottom style="thick">
        <color rgb="FFBFC1C3"/>
      </bottom>
      <diagonal/>
    </border>
    <border>
      <left style="dashed">
        <color rgb="FFBFC1C3"/>
      </left>
      <right/>
      <top/>
      <bottom style="dashed">
        <color rgb="FFBFC1C3"/>
      </bottom>
      <diagonal/>
    </border>
    <border>
      <left style="dashed">
        <color rgb="FFBFC1C3"/>
      </left>
      <right/>
      <top style="dashed">
        <color rgb="FFBFC1C3"/>
      </top>
      <bottom style="dashed">
        <color rgb="FFBFC1C3"/>
      </bottom>
      <diagonal/>
    </border>
    <border>
      <left style="dashed">
        <color rgb="FFBFC1C3"/>
      </left>
      <right/>
      <top style="dashed">
        <color rgb="FFBFC1C3"/>
      </top>
      <bottom style="thick">
        <color rgb="FFBFC1C3"/>
      </bottom>
      <diagonal/>
    </border>
    <border>
      <left style="thin">
        <color auto="1"/>
      </left>
      <right style="dashed">
        <color rgb="FFBFC1C3"/>
      </right>
      <top/>
      <bottom style="dashed">
        <color rgb="FFBFC1C3"/>
      </bottom>
      <diagonal/>
    </border>
    <border>
      <left style="thin">
        <color auto="1"/>
      </left>
      <right style="dashed">
        <color rgb="FFBFC1C3"/>
      </right>
      <top style="dashed">
        <color rgb="FFBFC1C3"/>
      </top>
      <bottom style="dashed">
        <color rgb="FFBFC1C3"/>
      </bottom>
      <diagonal/>
    </border>
    <border>
      <left style="thin">
        <color auto="1"/>
      </left>
      <right style="dashed">
        <color rgb="FFBFC1C3"/>
      </right>
      <top style="dashed">
        <color rgb="FFBFC1C3"/>
      </top>
      <bottom style="thick">
        <color rgb="FFBFC1C3"/>
      </bottom>
      <diagonal/>
    </border>
    <border>
      <left/>
      <right style="thin">
        <color auto="1"/>
      </right>
      <top style="dashed">
        <color rgb="FFB0BEC5"/>
      </top>
      <bottom style="thick">
        <color rgb="FFBFC1C3"/>
      </bottom>
      <diagonal/>
    </border>
    <border>
      <left style="thin">
        <color auto="1"/>
      </left>
      <right style="dashed">
        <color rgb="FFBFC1C3"/>
      </right>
      <top style="dashed">
        <color rgb="FFB0BEC5"/>
      </top>
      <bottom style="thick">
        <color rgb="FFBFC1C3"/>
      </bottom>
      <diagonal/>
    </border>
    <border>
      <left style="dashed">
        <color rgb="FFBFC1C3"/>
      </left>
      <right/>
      <top style="dashed">
        <color rgb="FFB0BEC5"/>
      </top>
      <bottom style="thick">
        <color rgb="FFBFC1C3"/>
      </bottom>
      <diagonal/>
    </border>
    <border>
      <left style="dashed">
        <color rgb="FFBFC1C3"/>
      </left>
      <right style="dashed">
        <color rgb="FFBFC1C3"/>
      </right>
      <top style="dashed">
        <color rgb="FFB0BEC5"/>
      </top>
      <bottom style="thick">
        <color rgb="FFBFC1C3"/>
      </bottom>
      <diagonal/>
    </border>
    <border>
      <left style="dashed">
        <color rgb="FFBFC1C3"/>
      </left>
      <right style="thick">
        <color rgb="FFBFC1C3"/>
      </right>
      <top style="dashed">
        <color rgb="FFB0BEC5"/>
      </top>
      <bottom style="thick">
        <color rgb="FFBFC1C3"/>
      </bottom>
      <diagonal/>
    </border>
    <border>
      <left style="dashed">
        <color rgb="FFBFC1C3"/>
      </left>
      <right/>
      <top style="thick">
        <color rgb="FFBFC1C3"/>
      </top>
      <bottom/>
      <diagonal/>
    </border>
    <border>
      <left style="dashed">
        <color rgb="FFBFC1C3"/>
      </left>
      <right/>
      <top style="dashed">
        <color rgb="FFB0BEC5"/>
      </top>
      <bottom style="dashed">
        <color rgb="FFB0BEC5"/>
      </bottom>
      <diagonal/>
    </border>
    <border>
      <left/>
      <right style="thin">
        <color auto="1"/>
      </right>
      <top style="dashed">
        <color rgb="FFB0BEC5"/>
      </top>
      <bottom style="dashed">
        <color rgb="FFB0BEC5"/>
      </bottom>
      <diagonal/>
    </border>
    <border>
      <left/>
      <right style="dashed">
        <color rgb="FFBFC1C3"/>
      </right>
      <top style="dashed">
        <color rgb="FFB0BEC5"/>
      </top>
      <bottom style="dashed">
        <color rgb="FFB0BEC5"/>
      </bottom>
      <diagonal/>
    </border>
    <border>
      <left style="dashed">
        <color rgb="FFBFC1C3"/>
      </left>
      <right style="thick">
        <color rgb="FFBFC1C3"/>
      </right>
      <top style="dashed">
        <color rgb="FFBFC1C3"/>
      </top>
      <bottom style="thick">
        <color rgb="FFBFC1C3"/>
      </bottom>
      <diagonal/>
    </border>
    <border>
      <left style="dashed">
        <color rgb="FFBFC1C3"/>
      </left>
      <right style="thick">
        <color rgb="FFBFC1C3"/>
      </right>
      <top style="dashed">
        <color rgb="FFBFC1C3"/>
      </top>
      <bottom style="dashed">
        <color rgb="FFBFC1C3"/>
      </bottom>
      <diagonal/>
    </border>
    <border>
      <left/>
      <right style="dashed">
        <color rgb="FFBFC1C3"/>
      </right>
      <top style="dashed">
        <color rgb="FFB0BEC5"/>
      </top>
      <bottom style="thick">
        <color rgb="FFBFC1C3"/>
      </bottom>
      <diagonal/>
    </border>
    <border>
      <left style="thin">
        <color auto="1"/>
      </left>
      <right/>
      <top style="dashed">
        <color rgb="FFB0BEC5"/>
      </top>
      <bottom/>
      <diagonal/>
    </border>
    <border>
      <left style="thin">
        <color auto="1"/>
      </left>
      <right/>
      <top style="dashed">
        <color rgb="FFB0BEC5"/>
      </top>
      <bottom style="thick">
        <color rgb="FFBFC1C3"/>
      </bottom>
      <diagonal/>
    </border>
    <border>
      <left style="dashed">
        <color rgb="FF455A64"/>
      </left>
      <right/>
      <top style="dashed">
        <color rgb="FF455A64"/>
      </top>
      <bottom style="dashed">
        <color rgb="FFBFC1C3"/>
      </bottom>
      <diagonal/>
    </border>
    <border>
      <left/>
      <right/>
      <top style="dashed">
        <color rgb="FF455A64"/>
      </top>
      <bottom style="dashed">
        <color rgb="FFBFC1C3"/>
      </bottom>
      <diagonal/>
    </border>
    <border>
      <left/>
      <right style="dashed">
        <color rgb="FF455A64"/>
      </right>
      <top style="dashed">
        <color rgb="FF455A64"/>
      </top>
      <bottom style="dashed">
        <color rgb="FFBFC1C3"/>
      </bottom>
      <diagonal/>
    </border>
    <border>
      <left style="thick">
        <color rgb="FFBFC1C3"/>
      </left>
      <right style="thin">
        <color auto="1"/>
      </right>
      <top style="thick">
        <color rgb="FFBFC1C3"/>
      </top>
      <bottom/>
      <diagonal/>
    </border>
    <border>
      <left style="thin">
        <color auto="1"/>
      </left>
      <right style="thick">
        <color rgb="FFBFC1C3"/>
      </right>
      <top style="thick">
        <color rgb="FFBFC1C3"/>
      </top>
      <bottom/>
      <diagonal/>
    </border>
    <border>
      <left style="thick">
        <color rgb="FFBFC1C3"/>
      </left>
      <right style="thin">
        <color auto="1"/>
      </right>
      <top/>
      <bottom/>
      <diagonal/>
    </border>
    <border>
      <left style="thin">
        <color auto="1"/>
      </left>
      <right style="thick">
        <color rgb="FFBFC1C3"/>
      </right>
      <top/>
      <bottom/>
      <diagonal/>
    </border>
    <border>
      <left style="thick">
        <color rgb="FFBFC1C3"/>
      </left>
      <right style="thin">
        <color auto="1"/>
      </right>
      <top style="dashed">
        <color rgb="FFBFC1C3"/>
      </top>
      <bottom style="dashed">
        <color rgb="FFB0BEC5"/>
      </bottom>
      <diagonal/>
    </border>
    <border>
      <left style="thin">
        <color auto="1"/>
      </left>
      <right style="thick">
        <color rgb="FFBFC1C3"/>
      </right>
      <top/>
      <bottom style="dashed">
        <color rgb="FFB0BEC5"/>
      </bottom>
      <diagonal/>
    </border>
    <border>
      <left style="thin">
        <color auto="1"/>
      </left>
      <right style="thick">
        <color rgb="FFBFC1C3"/>
      </right>
      <top style="dashed">
        <color rgb="FFB0BEC5"/>
      </top>
      <bottom/>
      <diagonal/>
    </border>
    <border>
      <left style="thick">
        <color rgb="FFBFC1C3"/>
      </left>
      <right style="thin">
        <color auto="1"/>
      </right>
      <top style="dashed">
        <color rgb="FFB0BEC5"/>
      </top>
      <bottom style="thick">
        <color rgb="FFBFC1C3"/>
      </bottom>
      <diagonal/>
    </border>
    <border>
      <left style="thin">
        <color auto="1"/>
      </left>
      <right style="thick">
        <color rgb="FFBFC1C3"/>
      </right>
      <top/>
      <bottom style="thick">
        <color rgb="FFBFC1C3"/>
      </bottom>
      <diagonal/>
    </border>
    <border>
      <left style="thin">
        <color indexed="64"/>
      </left>
      <right/>
      <top style="dashed">
        <color rgb="FFBFC1C3"/>
      </top>
      <bottom style="dashed">
        <color rgb="FFBFC1C3"/>
      </bottom>
      <diagonal/>
    </border>
    <border>
      <left style="dashed">
        <color rgb="FFBFC1C3"/>
      </left>
      <right style="dashed">
        <color rgb="FFBFC1C3"/>
      </right>
      <top style="thick">
        <color rgb="FFBFC1C3"/>
      </top>
      <bottom/>
      <diagonal/>
    </border>
    <border>
      <left/>
      <right style="dashed">
        <color rgb="FFB0BEC5"/>
      </right>
      <top style="dashed">
        <color rgb="FFB0BEC5"/>
      </top>
      <bottom style="thick">
        <color rgb="FFBFC1C3"/>
      </bottom>
      <diagonal/>
    </border>
    <border>
      <left style="thick">
        <color rgb="FFBFC1C3"/>
      </left>
      <right/>
      <top style="thick">
        <color rgb="FFBFC1C3"/>
      </top>
      <bottom style="dashed">
        <color rgb="FFB0BEC5"/>
      </bottom>
      <diagonal/>
    </border>
    <border>
      <left/>
      <right/>
      <top style="thick">
        <color rgb="FFBFC1C3"/>
      </top>
      <bottom style="dashed">
        <color rgb="FFB0BEC5"/>
      </bottom>
      <diagonal/>
    </border>
    <border>
      <left style="thin">
        <color indexed="64"/>
      </left>
      <right/>
      <top style="dashed">
        <color rgb="FFB0BEC5"/>
      </top>
      <bottom style="dashed">
        <color rgb="FFB0BEC5"/>
      </bottom>
      <diagonal/>
    </border>
    <border>
      <left style="thin">
        <color auto="1"/>
      </left>
      <right style="dashed">
        <color rgb="FFBFC1C3"/>
      </right>
      <top style="dashed">
        <color rgb="FFBFC1C3"/>
      </top>
      <bottom style="dashed">
        <color rgb="FFB0BEC5"/>
      </bottom>
      <diagonal/>
    </border>
    <border>
      <left style="thick">
        <color rgb="FFBFC1C3"/>
      </left>
      <right style="dashed">
        <color rgb="FF455A64"/>
      </right>
      <top/>
      <bottom/>
      <diagonal/>
    </border>
    <border>
      <left style="thin">
        <color indexed="64"/>
      </left>
      <right/>
      <top style="dashed">
        <color rgb="FFBFC1C3"/>
      </top>
      <bottom style="thick">
        <color rgb="FFBFC1C3"/>
      </bottom>
      <diagonal/>
    </border>
    <border>
      <left/>
      <right style="thick">
        <color rgb="FFBFC1C3"/>
      </right>
      <top style="thick">
        <color rgb="FFDEE0E2"/>
      </top>
      <bottom/>
      <diagonal/>
    </border>
    <border>
      <left/>
      <right style="thick">
        <color rgb="FFBFC1C3"/>
      </right>
      <top/>
      <bottom style="thick">
        <color rgb="FFDEE0E2"/>
      </bottom>
      <diagonal/>
    </border>
    <border>
      <left/>
      <right style="thick">
        <color rgb="FFBFC1C3"/>
      </right>
      <top style="thick">
        <color rgb="FFBFC1C3"/>
      </top>
      <bottom style="dashed">
        <color rgb="FFB0BEC5"/>
      </bottom>
      <diagonal/>
    </border>
    <border>
      <left/>
      <right style="dashed">
        <color rgb="FFB0BEC5"/>
      </right>
      <top style="dashed">
        <color rgb="FFBFC1C3"/>
      </top>
      <bottom style="dashed">
        <color rgb="FFBFC1C3"/>
      </bottom>
      <diagonal/>
    </border>
    <border>
      <left/>
      <right/>
      <top style="thin">
        <color indexed="64"/>
      </top>
      <bottom/>
      <diagonal/>
    </border>
    <border>
      <left/>
      <right style="thick">
        <color rgb="FFB0BEC5"/>
      </right>
      <top/>
      <bottom/>
      <diagonal/>
    </border>
    <border>
      <left/>
      <right style="thick">
        <color rgb="FFB0BEC5"/>
      </right>
      <top style="dashed">
        <color rgb="FFB0BEC5"/>
      </top>
      <bottom style="thick">
        <color rgb="FFBFC1C3"/>
      </bottom>
      <diagonal/>
    </border>
    <border>
      <left/>
      <right style="dashed">
        <color rgb="FFB0BEC5"/>
      </right>
      <top style="dashed">
        <color rgb="FFBFC1C3"/>
      </top>
      <bottom style="thick">
        <color rgb="FFBFC1C3"/>
      </bottom>
      <diagonal/>
    </border>
    <border>
      <left/>
      <right style="thick">
        <color rgb="FFB0BEC5"/>
      </right>
      <top/>
      <bottom style="dashed">
        <color rgb="FFB0BEC5"/>
      </bottom>
      <diagonal/>
    </border>
  </borders>
  <cellStyleXfs count="69">
    <xf numFmtId="0" fontId="0" fillId="34" borderId="0" applyNumberFormat="0" applyFont="0" applyBorder="0" applyAlignment="0"/>
    <xf numFmtId="167"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5"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2" fontId="23" fillId="38" borderId="0"/>
    <xf numFmtId="0" fontId="22" fillId="33" borderId="11"/>
    <xf numFmtId="2" fontId="24" fillId="38" borderId="10">
      <alignment vertical="center"/>
    </xf>
    <xf numFmtId="2" fontId="38" fillId="42" borderId="16">
      <alignment horizontal="left" vertical="center" indent="1"/>
    </xf>
    <xf numFmtId="2" fontId="25" fillId="35" borderId="0">
      <alignment wrapText="1"/>
    </xf>
    <xf numFmtId="2" fontId="35" fillId="34" borderId="0" applyNumberFormat="0" applyBorder="0" applyAlignment="0"/>
    <xf numFmtId="0" fontId="31" fillId="36" borderId="0" applyNumberFormat="0" applyFill="0" applyBorder="0" applyAlignment="0" applyProtection="0"/>
    <xf numFmtId="0" fontId="36" fillId="0" borderId="0"/>
    <xf numFmtId="0" fontId="34" fillId="0" borderId="0"/>
    <xf numFmtId="0" fontId="4" fillId="0" borderId="0"/>
    <xf numFmtId="0" fontId="3" fillId="0" borderId="0"/>
    <xf numFmtId="0" fontId="2" fillId="0" borderId="0"/>
    <xf numFmtId="0" fontId="34" fillId="0" borderId="0"/>
    <xf numFmtId="0" fontId="1" fillId="0" borderId="0"/>
    <xf numFmtId="0" fontId="22" fillId="34" borderId="0" applyNumberFormat="0" applyFont="0" applyBorder="0" applyAlignment="0"/>
    <xf numFmtId="0" fontId="22" fillId="33" borderId="11"/>
    <xf numFmtId="0" fontId="31" fillId="36" borderId="0" applyNumberFormat="0" applyFill="0" applyBorder="0" applyAlignment="0" applyProtection="0"/>
    <xf numFmtId="0" fontId="1" fillId="0" borderId="0"/>
    <xf numFmtId="0" fontId="1" fillId="0" borderId="0"/>
    <xf numFmtId="0" fontId="1" fillId="0" borderId="0"/>
    <xf numFmtId="2" fontId="24" fillId="38" borderId="0">
      <alignment vertical="center"/>
    </xf>
    <xf numFmtId="0" fontId="34" fillId="50" borderId="0"/>
  </cellStyleXfs>
  <cellXfs count="1008">
    <xf numFmtId="0" fontId="0" fillId="34" borderId="0" xfId="0"/>
    <xf numFmtId="0" fontId="0" fillId="34" borderId="0" xfId="0" applyAlignment="1">
      <alignment wrapText="1"/>
    </xf>
    <xf numFmtId="0" fontId="0" fillId="34" borderId="0" xfId="0" applyProtection="1"/>
    <xf numFmtId="0" fontId="0" fillId="34" borderId="0" xfId="0" applyAlignment="1" applyProtection="1">
      <alignment wrapText="1"/>
    </xf>
    <xf numFmtId="2" fontId="27" fillId="34" borderId="0" xfId="0" applyNumberFormat="1" applyFont="1" applyProtection="1"/>
    <xf numFmtId="2" fontId="26" fillId="34" borderId="0" xfId="0" applyNumberFormat="1" applyFont="1" applyAlignment="1" applyProtection="1">
      <alignment vertical="center"/>
    </xf>
    <xf numFmtId="0" fontId="0" fillId="34" borderId="0" xfId="0" applyBorder="1" applyAlignment="1" applyProtection="1">
      <alignment wrapText="1"/>
    </xf>
    <xf numFmtId="0" fontId="0" fillId="34" borderId="0" xfId="0" applyBorder="1" applyProtection="1"/>
    <xf numFmtId="0" fontId="0" fillId="34" borderId="0" xfId="0" applyBorder="1"/>
    <xf numFmtId="0" fontId="28" fillId="34" borderId="0" xfId="0" applyFont="1" applyAlignment="1" applyProtection="1"/>
    <xf numFmtId="0" fontId="28" fillId="34" borderId="0" xfId="0" applyFont="1" applyProtection="1"/>
    <xf numFmtId="0" fontId="28" fillId="34" borderId="0" xfId="0" applyFont="1" applyAlignment="1" applyProtection="1">
      <alignment wrapText="1"/>
    </xf>
    <xf numFmtId="2" fontId="28" fillId="34" borderId="0" xfId="0" applyNumberFormat="1" applyFont="1" applyProtection="1"/>
    <xf numFmtId="0" fontId="0" fillId="33" borderId="0" xfId="0" applyFill="1" applyProtection="1"/>
    <xf numFmtId="2" fontId="26" fillId="33" borderId="0" xfId="0" applyNumberFormat="1" applyFont="1" applyFill="1" applyAlignment="1">
      <alignment vertical="center" wrapText="1"/>
    </xf>
    <xf numFmtId="0" fontId="29" fillId="33" borderId="0" xfId="0" applyFont="1" applyFill="1" applyAlignment="1" applyProtection="1">
      <alignment horizontal="left" vertical="center"/>
    </xf>
    <xf numFmtId="0" fontId="29" fillId="33" borderId="0" xfId="0" applyFont="1" applyFill="1" applyProtection="1"/>
    <xf numFmtId="0" fontId="0" fillId="33" borderId="0" xfId="0" applyFont="1" applyFill="1" applyProtection="1"/>
    <xf numFmtId="0" fontId="32" fillId="33" borderId="0" xfId="53" applyFont="1" applyFill="1" applyAlignment="1" applyProtection="1">
      <alignment vertical="top"/>
    </xf>
    <xf numFmtId="0" fontId="25" fillId="33" borderId="0" xfId="0" applyFont="1" applyFill="1" applyAlignment="1" applyProtection="1">
      <alignment vertical="top"/>
    </xf>
    <xf numFmtId="0" fontId="0" fillId="33" borderId="0" xfId="0" applyFont="1" applyFill="1" applyAlignment="1" applyProtection="1">
      <alignment vertical="top"/>
    </xf>
    <xf numFmtId="0" fontId="0" fillId="33" borderId="0" xfId="0" applyFill="1"/>
    <xf numFmtId="0" fontId="0" fillId="33" borderId="0" xfId="0" applyFill="1" applyAlignment="1" applyProtection="1">
      <alignment vertical="top"/>
    </xf>
    <xf numFmtId="0" fontId="0" fillId="33" borderId="0" xfId="0" applyFill="1" applyBorder="1"/>
    <xf numFmtId="0" fontId="0" fillId="33" borderId="0" xfId="0" applyFill="1" applyBorder="1" applyProtection="1"/>
    <xf numFmtId="0" fontId="22" fillId="33" borderId="0" xfId="48" applyNumberFormat="1" applyFont="1" applyFill="1" applyBorder="1" applyAlignment="1">
      <alignment horizontal="center" vertical="center"/>
    </xf>
    <xf numFmtId="0" fontId="28" fillId="33" borderId="0" xfId="0" applyFont="1" applyFill="1" applyAlignment="1" applyProtection="1">
      <alignment vertical="top" wrapText="1"/>
    </xf>
    <xf numFmtId="0" fontId="0" fillId="33" borderId="0" xfId="0" applyFill="1" applyBorder="1" applyAlignment="1" applyProtection="1">
      <alignment horizontal="center" vertical="top" wrapText="1"/>
    </xf>
    <xf numFmtId="0" fontId="0" fillId="33" borderId="0" xfId="0" applyFill="1" applyAlignment="1" applyProtection="1">
      <alignment horizontal="center" vertical="top" wrapText="1"/>
    </xf>
    <xf numFmtId="0" fontId="0" fillId="33" borderId="0" xfId="0" applyFill="1" applyAlignment="1" applyProtection="1">
      <alignment horizontal="center" vertical="top" wrapText="1"/>
    </xf>
    <xf numFmtId="0" fontId="0" fillId="34" borderId="0" xfId="0" applyAlignment="1" applyProtection="1"/>
    <xf numFmtId="0" fontId="0" fillId="34" borderId="0" xfId="0" applyBorder="1" applyAlignment="1">
      <alignment wrapText="1"/>
    </xf>
    <xf numFmtId="0" fontId="28" fillId="34" borderId="0" xfId="0" applyFont="1" applyBorder="1" applyAlignment="1">
      <alignment vertical="top"/>
    </xf>
    <xf numFmtId="2" fontId="33" fillId="34" borderId="0" xfId="0" applyNumberFormat="1" applyFont="1" applyBorder="1" applyAlignment="1"/>
    <xf numFmtId="2" fontId="24" fillId="38" borderId="0" xfId="49" applyBorder="1">
      <alignment vertical="center"/>
    </xf>
    <xf numFmtId="0" fontId="0" fillId="34" borderId="0" xfId="0"/>
    <xf numFmtId="0" fontId="0" fillId="34" borderId="0" xfId="0" applyProtection="1"/>
    <xf numFmtId="0" fontId="25" fillId="33" borderId="0" xfId="0" applyFont="1" applyFill="1" applyProtection="1"/>
    <xf numFmtId="0" fontId="25" fillId="40" borderId="34" xfId="0" applyFont="1" applyFill="1" applyBorder="1" applyAlignment="1">
      <alignment horizontal="left" wrapText="1"/>
    </xf>
    <xf numFmtId="0" fontId="25" fillId="40" borderId="34" xfId="0" applyFont="1" applyFill="1" applyBorder="1" applyAlignment="1">
      <alignment horizontal="left"/>
    </xf>
    <xf numFmtId="0" fontId="25" fillId="40" borderId="19" xfId="0" applyFont="1" applyFill="1" applyBorder="1" applyAlignment="1">
      <alignment horizontal="left"/>
    </xf>
    <xf numFmtId="0" fontId="25" fillId="40" borderId="36" xfId="0" applyFont="1" applyFill="1" applyBorder="1" applyAlignment="1">
      <alignment horizontal="left"/>
    </xf>
    <xf numFmtId="0" fontId="25" fillId="40" borderId="32" xfId="0" applyFont="1" applyFill="1" applyBorder="1" applyAlignment="1">
      <alignment horizontal="left" wrapText="1"/>
    </xf>
    <xf numFmtId="0" fontId="25" fillId="40" borderId="19" xfId="0" applyFont="1" applyFill="1" applyBorder="1"/>
    <xf numFmtId="0" fontId="0" fillId="37" borderId="33" xfId="0" applyFont="1" applyFill="1" applyBorder="1" applyAlignment="1">
      <alignment horizontal="left"/>
    </xf>
    <xf numFmtId="0" fontId="25" fillId="40" borderId="34" xfId="0" applyFont="1" applyFill="1" applyBorder="1"/>
    <xf numFmtId="14" fontId="0" fillId="37" borderId="35" xfId="0" applyNumberFormat="1" applyFont="1" applyFill="1" applyBorder="1" applyAlignment="1">
      <alignment horizontal="left"/>
    </xf>
    <xf numFmtId="0" fontId="25" fillId="40" borderId="36" xfId="0" applyFont="1" applyFill="1" applyBorder="1"/>
    <xf numFmtId="0" fontId="0" fillId="37" borderId="31" xfId="0" applyFont="1" applyFill="1" applyBorder="1" applyAlignment="1">
      <alignment horizontal="left"/>
    </xf>
    <xf numFmtId="0" fontId="25" fillId="40" borderId="19" xfId="48" applyNumberFormat="1" applyFont="1" applyFill="1" applyBorder="1" applyAlignment="1">
      <alignment vertical="center"/>
    </xf>
    <xf numFmtId="0" fontId="25" fillId="40" borderId="34" xfId="48" applyNumberFormat="1" applyFont="1" applyFill="1" applyBorder="1" applyAlignment="1">
      <alignment vertical="center"/>
    </xf>
    <xf numFmtId="0" fontId="25" fillId="40" borderId="36" xfId="48" applyNumberFormat="1" applyFont="1" applyFill="1" applyBorder="1" applyAlignment="1">
      <alignment vertical="center"/>
    </xf>
    <xf numFmtId="0" fontId="37" fillId="40" borderId="19" xfId="0" applyFont="1" applyFill="1" applyBorder="1" applyAlignment="1">
      <alignment horizontal="center" vertical="center" wrapText="1"/>
    </xf>
    <xf numFmtId="0" fontId="0" fillId="41" borderId="33" xfId="0" applyFont="1" applyFill="1" applyBorder="1" applyAlignment="1" applyProtection="1">
      <alignment horizontal="left" wrapText="1"/>
      <protection locked="0"/>
    </xf>
    <xf numFmtId="0" fontId="0" fillId="41" borderId="35" xfId="0" applyFont="1" applyFill="1" applyBorder="1" applyAlignment="1" applyProtection="1">
      <alignment horizontal="left"/>
      <protection locked="0"/>
    </xf>
    <xf numFmtId="0" fontId="0" fillId="41" borderId="31" xfId="0" applyFont="1" applyFill="1" applyBorder="1" applyAlignment="1" applyProtection="1">
      <alignment horizontal="left"/>
      <protection locked="0"/>
    </xf>
    <xf numFmtId="0" fontId="0" fillId="41" borderId="33" xfId="0" applyFont="1" applyFill="1" applyBorder="1" applyAlignment="1" applyProtection="1">
      <alignment horizontal="left"/>
      <protection locked="0"/>
    </xf>
    <xf numFmtId="49" fontId="0" fillId="41" borderId="35" xfId="0" applyNumberFormat="1" applyFont="1" applyFill="1" applyBorder="1" applyAlignment="1" applyProtection="1">
      <alignment horizontal="left"/>
      <protection locked="0"/>
    </xf>
    <xf numFmtId="22" fontId="0" fillId="41" borderId="35" xfId="0" applyNumberFormat="1" applyFont="1" applyFill="1" applyBorder="1" applyAlignment="1" applyProtection="1">
      <alignment horizontal="left"/>
      <protection locked="0"/>
    </xf>
    <xf numFmtId="49" fontId="0" fillId="41" borderId="31" xfId="0" applyNumberFormat="1" applyFont="1" applyFill="1" applyBorder="1" applyAlignment="1" applyProtection="1">
      <alignment horizontal="left"/>
      <protection locked="0"/>
    </xf>
    <xf numFmtId="49" fontId="0" fillId="41" borderId="33" xfId="0" applyNumberFormat="1" applyFont="1" applyFill="1" applyBorder="1" applyAlignment="1" applyProtection="1">
      <alignment horizontal="left"/>
      <protection locked="0"/>
    </xf>
    <xf numFmtId="0" fontId="0" fillId="41" borderId="33" xfId="48" applyNumberFormat="1" applyFont="1" applyFill="1" applyBorder="1" applyAlignment="1" applyProtection="1">
      <alignment horizontal="center" vertical="center"/>
      <protection locked="0"/>
    </xf>
    <xf numFmtId="0" fontId="0" fillId="41" borderId="35" xfId="48" applyNumberFormat="1" applyFont="1" applyFill="1" applyBorder="1" applyAlignment="1" applyProtection="1">
      <alignment horizontal="center" vertical="center"/>
      <protection locked="0"/>
    </xf>
    <xf numFmtId="0" fontId="0" fillId="41" borderId="31" xfId="48" applyNumberFormat="1" applyFont="1" applyFill="1" applyBorder="1" applyAlignment="1" applyProtection="1">
      <alignment horizontal="center" vertical="center"/>
      <protection locked="0"/>
    </xf>
    <xf numFmtId="0" fontId="25" fillId="40" borderId="46" xfId="0" applyFont="1" applyFill="1" applyBorder="1" applyAlignment="1">
      <alignment horizontal="left" vertical="top" wrapText="1"/>
    </xf>
    <xf numFmtId="0" fontId="0" fillId="41" borderId="48" xfId="0" applyFont="1" applyFill="1" applyBorder="1" applyAlignment="1" applyProtection="1">
      <alignment horizontal="left" wrapText="1"/>
    </xf>
    <xf numFmtId="0" fontId="35" fillId="34" borderId="0" xfId="0" applyNumberFormat="1" applyFont="1" applyAlignment="1" applyProtection="1">
      <alignment horizontal="left" vertical="top"/>
    </xf>
    <xf numFmtId="0" fontId="0" fillId="40" borderId="49" xfId="0" applyFont="1" applyFill="1" applyBorder="1" applyAlignment="1" applyProtection="1">
      <alignment horizontal="left" wrapText="1"/>
    </xf>
    <xf numFmtId="0" fontId="32" fillId="33" borderId="0" xfId="53" applyFont="1" applyFill="1" applyAlignment="1" applyProtection="1">
      <alignment vertical="top"/>
      <protection locked="0"/>
    </xf>
    <xf numFmtId="0" fontId="25" fillId="43" borderId="57" xfId="0" applyFont="1" applyFill="1" applyBorder="1" applyAlignment="1" applyProtection="1">
      <alignment horizontal="left" wrapText="1"/>
      <protection locked="0"/>
    </xf>
    <xf numFmtId="0" fontId="0" fillId="41" borderId="58" xfId="0" applyFill="1" applyBorder="1" applyProtection="1">
      <protection locked="0"/>
    </xf>
    <xf numFmtId="0" fontId="0" fillId="41" borderId="58" xfId="0" applyFont="1" applyFill="1" applyBorder="1" applyAlignment="1" applyProtection="1">
      <alignment horizontal="left" wrapText="1"/>
      <protection locked="0"/>
    </xf>
    <xf numFmtId="0" fontId="25" fillId="43" borderId="60" xfId="0" applyFont="1" applyFill="1" applyBorder="1" applyAlignment="1" applyProtection="1">
      <alignment horizontal="left" wrapText="1"/>
      <protection locked="0"/>
    </xf>
    <xf numFmtId="0" fontId="0" fillId="41" borderId="61" xfId="0" applyFont="1" applyFill="1" applyBorder="1" applyAlignment="1" applyProtection="1">
      <alignment horizontal="left" wrapText="1"/>
      <protection locked="0"/>
    </xf>
    <xf numFmtId="2" fontId="24" fillId="38" borderId="0" xfId="49" applyFill="1" applyBorder="1" applyProtection="1">
      <alignment vertical="center"/>
    </xf>
    <xf numFmtId="2" fontId="24" fillId="38" borderId="0" xfId="49" applyFill="1" applyBorder="1" applyAlignment="1" applyProtection="1">
      <alignment vertical="center"/>
    </xf>
    <xf numFmtId="2" fontId="24" fillId="38" borderId="0" xfId="49" applyFill="1" applyBorder="1" applyAlignment="1" applyProtection="1">
      <alignment vertical="center" wrapText="1"/>
    </xf>
    <xf numFmtId="0" fontId="0" fillId="38" borderId="0" xfId="0" applyFill="1" applyBorder="1" applyProtection="1"/>
    <xf numFmtId="0" fontId="0" fillId="34" borderId="0" xfId="0" applyAlignment="1">
      <alignment horizontal="center"/>
    </xf>
    <xf numFmtId="0" fontId="0" fillId="34" borderId="0" xfId="0" applyAlignment="1" applyProtection="1">
      <alignment horizontal="center" wrapText="1"/>
    </xf>
    <xf numFmtId="0" fontId="25" fillId="40" borderId="70" xfId="0" applyFont="1" applyFill="1" applyBorder="1" applyAlignment="1">
      <alignment horizontal="left"/>
    </xf>
    <xf numFmtId="0" fontId="0" fillId="34" borderId="71" xfId="0" applyBorder="1" applyAlignment="1">
      <alignment horizontal="center"/>
    </xf>
    <xf numFmtId="49" fontId="0" fillId="41" borderId="58" xfId="0" applyNumberFormat="1" applyFont="1" applyFill="1" applyBorder="1" applyAlignment="1" applyProtection="1">
      <alignment horizontal="left" wrapText="1"/>
      <protection locked="0"/>
    </xf>
    <xf numFmtId="49" fontId="0" fillId="41" borderId="61" xfId="0" applyNumberFormat="1" applyFont="1" applyFill="1" applyBorder="1" applyAlignment="1" applyProtection="1">
      <alignment horizontal="left" wrapText="1"/>
      <protection locked="0"/>
    </xf>
    <xf numFmtId="0" fontId="0" fillId="34" borderId="0" xfId="0" applyAlignment="1" applyProtection="1">
      <alignment wrapText="1"/>
    </xf>
    <xf numFmtId="0" fontId="25" fillId="40" borderId="0" xfId="0" applyFont="1" applyFill="1" applyBorder="1" applyAlignment="1">
      <alignment horizontal="left"/>
    </xf>
    <xf numFmtId="0" fontId="0" fillId="33" borderId="0" xfId="0" applyFill="1" applyAlignment="1" applyProtection="1">
      <alignment vertical="top" wrapText="1"/>
    </xf>
    <xf numFmtId="14" fontId="0" fillId="34" borderId="0" xfId="0" applyNumberFormat="1" applyAlignment="1" applyProtection="1">
      <alignment horizontal="left"/>
    </xf>
    <xf numFmtId="0" fontId="0" fillId="34" borderId="0" xfId="0" applyNumberFormat="1" applyAlignment="1" applyProtection="1">
      <alignment horizontal="left"/>
    </xf>
    <xf numFmtId="14" fontId="0" fillId="34" borderId="0" xfId="0" applyNumberFormat="1" applyAlignment="1" applyProtection="1">
      <alignment horizontal="left" vertical="top"/>
    </xf>
    <xf numFmtId="0" fontId="0" fillId="37" borderId="58" xfId="0" applyNumberFormat="1" applyFont="1" applyFill="1" applyBorder="1" applyAlignment="1" applyProtection="1">
      <alignment horizontal="center" vertical="top" wrapText="1"/>
      <protection locked="0"/>
    </xf>
    <xf numFmtId="0" fontId="0" fillId="37" borderId="61" xfId="0" applyNumberFormat="1" applyFont="1" applyFill="1" applyBorder="1" applyAlignment="1" applyProtection="1">
      <alignment horizontal="center" vertical="top" wrapText="1"/>
      <protection locked="0"/>
    </xf>
    <xf numFmtId="2" fontId="38" fillId="42" borderId="18" xfId="50" applyBorder="1">
      <alignment horizontal="left" vertical="center" indent="1"/>
    </xf>
    <xf numFmtId="0" fontId="35" fillId="34" borderId="0" xfId="0" applyNumberFormat="1" applyFont="1" applyBorder="1" applyAlignment="1">
      <alignment vertical="top" wrapText="1"/>
    </xf>
    <xf numFmtId="0" fontId="0" fillId="34" borderId="0" xfId="0" applyAlignment="1" applyProtection="1">
      <alignment horizontal="center" wrapText="1"/>
    </xf>
    <xf numFmtId="2" fontId="38" fillId="42" borderId="18" xfId="50" applyBorder="1">
      <alignment horizontal="left" vertical="center" indent="1"/>
    </xf>
    <xf numFmtId="0" fontId="35" fillId="34" borderId="0" xfId="0" applyNumberFormat="1" applyFont="1" applyAlignment="1">
      <alignment wrapText="1"/>
    </xf>
    <xf numFmtId="0" fontId="35" fillId="34" borderId="0" xfId="0" applyNumberFormat="1" applyFont="1" applyAlignment="1">
      <alignment horizontal="left" vertical="top" wrapText="1"/>
    </xf>
    <xf numFmtId="0" fontId="35" fillId="34" borderId="0" xfId="0" applyNumberFormat="1" applyFont="1" applyAlignment="1">
      <alignment vertical="top" wrapText="1"/>
    </xf>
    <xf numFmtId="0" fontId="25" fillId="34" borderId="0" xfId="0" applyFont="1" applyBorder="1" applyAlignment="1">
      <alignment horizontal="left"/>
    </xf>
    <xf numFmtId="0" fontId="39" fillId="34" borderId="0" xfId="0" applyFont="1" applyBorder="1" applyAlignment="1">
      <alignment horizontal="left" vertical="center" indent="1"/>
    </xf>
    <xf numFmtId="0" fontId="35" fillId="34" borderId="0" xfId="0" applyNumberFormat="1" applyFont="1" applyAlignment="1">
      <alignment horizontal="left" vertical="top" wrapText="1" indent="1"/>
    </xf>
    <xf numFmtId="0" fontId="35" fillId="34" borderId="0" xfId="0" applyNumberFormat="1" applyFont="1" applyBorder="1" applyAlignment="1">
      <alignment horizontal="left" vertical="top" wrapText="1"/>
    </xf>
    <xf numFmtId="0" fontId="35" fillId="34" borderId="0" xfId="0" applyNumberFormat="1" applyFont="1"/>
    <xf numFmtId="0" fontId="35" fillId="34" borderId="0" xfId="52" applyNumberFormat="1"/>
    <xf numFmtId="1" fontId="0" fillId="41" borderId="33" xfId="0" applyNumberFormat="1" applyFont="1" applyFill="1" applyBorder="1" applyAlignment="1" applyProtection="1">
      <alignment horizontal="left"/>
      <protection locked="0"/>
    </xf>
    <xf numFmtId="1" fontId="0" fillId="0" borderId="37" xfId="0" applyNumberFormat="1" applyFont="1" applyFill="1" applyBorder="1" applyAlignment="1" applyProtection="1">
      <alignment horizontal="left"/>
      <protection locked="0"/>
    </xf>
    <xf numFmtId="1" fontId="0" fillId="0" borderId="31" xfId="0" applyNumberFormat="1" applyFont="1" applyFill="1" applyBorder="1" applyAlignment="1" applyProtection="1">
      <alignment horizontal="left"/>
      <protection locked="0"/>
    </xf>
    <xf numFmtId="2" fontId="38" fillId="34" borderId="0" xfId="0" applyNumberFormat="1" applyFont="1" applyBorder="1" applyAlignment="1">
      <alignment vertical="center"/>
    </xf>
    <xf numFmtId="0" fontId="0" fillId="34" borderId="0" xfId="0" applyNumberFormat="1" applyAlignment="1">
      <alignment horizontal="left"/>
    </xf>
    <xf numFmtId="0" fontId="0" fillId="34" borderId="0" xfId="0" applyNumberFormat="1" applyAlignment="1">
      <alignment wrapText="1"/>
    </xf>
    <xf numFmtId="49" fontId="0" fillId="34" borderId="0" xfId="0" applyNumberFormat="1" applyAlignment="1">
      <alignment horizontal="left"/>
    </xf>
    <xf numFmtId="0" fontId="35" fillId="34" borderId="0" xfId="52" applyNumberFormat="1" applyAlignment="1">
      <alignment horizontal="left" vertical="top" wrapText="1"/>
    </xf>
    <xf numFmtId="0" fontId="25" fillId="40" borderId="75" xfId="0" applyFont="1" applyFill="1" applyBorder="1" applyAlignment="1">
      <alignment horizontal="left"/>
    </xf>
    <xf numFmtId="0" fontId="25" fillId="40" borderId="76" xfId="0" applyFont="1" applyFill="1" applyBorder="1" applyAlignment="1">
      <alignment horizontal="left"/>
    </xf>
    <xf numFmtId="0" fontId="25" fillId="40" borderId="77" xfId="0" applyFont="1" applyFill="1" applyBorder="1" applyAlignment="1">
      <alignment horizontal="left"/>
    </xf>
    <xf numFmtId="0" fontId="25" fillId="40" borderId="78" xfId="0" applyFont="1" applyFill="1" applyBorder="1" applyAlignment="1">
      <alignment horizontal="left"/>
    </xf>
    <xf numFmtId="2" fontId="38" fillId="42" borderId="52" xfId="50" applyBorder="1">
      <alignment horizontal="left" vertical="center" indent="1"/>
    </xf>
    <xf numFmtId="0" fontId="25" fillId="40" borderId="34" xfId="0" applyFont="1" applyFill="1" applyBorder="1" applyAlignment="1">
      <alignment horizontal="left"/>
    </xf>
    <xf numFmtId="0" fontId="25" fillId="40" borderId="50" xfId="0" applyFont="1" applyFill="1" applyBorder="1" applyAlignment="1">
      <alignment horizontal="left"/>
    </xf>
    <xf numFmtId="0" fontId="25" fillId="40" borderId="74" xfId="0" applyFont="1" applyFill="1" applyBorder="1" applyAlignment="1">
      <alignment horizontal="left"/>
    </xf>
    <xf numFmtId="0" fontId="35" fillId="34" borderId="0" xfId="52" applyNumberFormat="1" applyBorder="1" applyAlignment="1">
      <alignment horizontal="left" vertical="top" wrapText="1"/>
    </xf>
    <xf numFmtId="0" fontId="35" fillId="34" borderId="0" xfId="0" applyNumberFormat="1" applyFont="1" applyBorder="1" applyAlignment="1">
      <alignment horizontal="left" vertical="top" wrapText="1" indent="1"/>
    </xf>
    <xf numFmtId="0" fontId="35" fillId="34" borderId="0" xfId="0" applyNumberFormat="1" applyFont="1" applyAlignment="1">
      <alignment horizontal="left" vertical="top" wrapText="1" indent="1"/>
    </xf>
    <xf numFmtId="0" fontId="25" fillId="40" borderId="75" xfId="0" applyFont="1" applyFill="1" applyBorder="1" applyAlignment="1"/>
    <xf numFmtId="0" fontId="25" fillId="40" borderId="76" xfId="0" applyFont="1" applyFill="1" applyBorder="1" applyAlignment="1"/>
    <xf numFmtId="0" fontId="25" fillId="40" borderId="19" xfId="0" applyFont="1" applyFill="1" applyBorder="1" applyAlignment="1"/>
    <xf numFmtId="0" fontId="25" fillId="40" borderId="0" xfId="0" applyFont="1" applyFill="1" applyBorder="1" applyAlignment="1"/>
    <xf numFmtId="0" fontId="25" fillId="40" borderId="20" xfId="0" applyFont="1" applyFill="1" applyBorder="1" applyAlignment="1"/>
    <xf numFmtId="0" fontId="25" fillId="40" borderId="104" xfId="0" applyFont="1" applyFill="1" applyBorder="1" applyAlignment="1">
      <alignment horizontal="left"/>
    </xf>
    <xf numFmtId="1" fontId="0" fillId="33" borderId="73" xfId="0" applyNumberFormat="1" applyFont="1" applyFill="1" applyBorder="1" applyAlignment="1" applyProtection="1">
      <alignment horizontal="left"/>
      <protection locked="0"/>
    </xf>
    <xf numFmtId="1" fontId="0" fillId="33" borderId="39" xfId="0" applyNumberFormat="1" applyFont="1" applyFill="1" applyBorder="1" applyAlignment="1" applyProtection="1">
      <alignment horizontal="left"/>
      <protection locked="0"/>
    </xf>
    <xf numFmtId="0" fontId="35" fillId="34" borderId="0" xfId="52" applyNumberFormat="1" applyBorder="1" applyAlignment="1">
      <alignment vertical="top" wrapText="1"/>
    </xf>
    <xf numFmtId="0" fontId="0" fillId="34" borderId="0" xfId="0" applyNumberFormat="1" applyBorder="1" applyAlignment="1">
      <alignment wrapText="1"/>
    </xf>
    <xf numFmtId="2" fontId="38" fillId="34" borderId="0" xfId="0" applyNumberFormat="1" applyFont="1" applyBorder="1" applyAlignment="1">
      <alignment horizontal="left" vertical="center" indent="1"/>
    </xf>
    <xf numFmtId="0" fontId="0" fillId="34" borderId="0" xfId="0" applyFont="1" applyBorder="1" applyAlignment="1">
      <alignment horizontal="left"/>
    </xf>
    <xf numFmtId="0" fontId="0" fillId="34" borderId="0" xfId="0" applyNumberFormat="1" applyFont="1" applyBorder="1" applyAlignment="1">
      <alignment horizontal="left"/>
    </xf>
    <xf numFmtId="14" fontId="0" fillId="34" borderId="0" xfId="0" applyNumberFormat="1" applyFont="1" applyBorder="1" applyAlignment="1">
      <alignment horizontal="left"/>
    </xf>
    <xf numFmtId="0" fontId="0" fillId="34" borderId="0" xfId="0" applyFont="1" applyBorder="1" applyAlignment="1">
      <alignment horizontal="center" vertical="top"/>
    </xf>
    <xf numFmtId="0" fontId="25" fillId="40" borderId="74" xfId="0" applyFont="1" applyFill="1" applyBorder="1" applyAlignment="1"/>
    <xf numFmtId="2" fontId="26" fillId="34" borderId="0" xfId="0" applyNumberFormat="1" applyFont="1" applyBorder="1" applyAlignment="1" applyProtection="1">
      <alignment vertical="center"/>
    </xf>
    <xf numFmtId="49" fontId="0" fillId="34" borderId="0" xfId="0" applyNumberFormat="1" applyBorder="1" applyAlignment="1">
      <alignment horizontal="left"/>
    </xf>
    <xf numFmtId="0" fontId="0" fillId="34" borderId="0" xfId="0" applyNumberFormat="1" applyBorder="1" applyAlignment="1">
      <alignment horizontal="left"/>
    </xf>
    <xf numFmtId="0" fontId="0" fillId="41" borderId="108" xfId="0" applyFont="1" applyFill="1" applyBorder="1" applyAlignment="1" applyProtection="1">
      <protection locked="0"/>
    </xf>
    <xf numFmtId="22" fontId="0" fillId="41" borderId="108" xfId="0" applyNumberFormat="1" applyFont="1" applyFill="1" applyBorder="1" applyAlignment="1" applyProtection="1">
      <alignment horizontal="left" vertical="center"/>
      <protection locked="0"/>
    </xf>
    <xf numFmtId="14" fontId="0" fillId="40" borderId="109" xfId="0" applyNumberFormat="1" applyFont="1" applyFill="1" applyBorder="1" applyAlignment="1" applyProtection="1">
      <alignment horizontal="left"/>
    </xf>
    <xf numFmtId="0" fontId="0" fillId="34" borderId="105" xfId="0" applyBorder="1" applyProtection="1"/>
    <xf numFmtId="1" fontId="0" fillId="33" borderId="113" xfId="0" applyNumberFormat="1" applyFont="1" applyFill="1" applyBorder="1" applyAlignment="1" applyProtection="1">
      <alignment horizontal="left"/>
      <protection locked="0"/>
    </xf>
    <xf numFmtId="0" fontId="0" fillId="34" borderId="0" xfId="0" applyAlignment="1" applyProtection="1">
      <alignment wrapText="1"/>
    </xf>
    <xf numFmtId="0" fontId="0" fillId="34" borderId="0" xfId="0" applyAlignment="1" applyProtection="1">
      <alignment horizontal="center" wrapText="1"/>
    </xf>
    <xf numFmtId="0" fontId="0" fillId="34" borderId="0" xfId="0" applyAlignment="1" applyProtection="1">
      <alignment wrapText="1"/>
    </xf>
    <xf numFmtId="0" fontId="0" fillId="34" borderId="0" xfId="0" applyProtection="1"/>
    <xf numFmtId="0" fontId="28" fillId="34" borderId="0" xfId="0" applyFont="1" applyBorder="1" applyAlignment="1" applyProtection="1">
      <alignment vertical="top" wrapText="1"/>
    </xf>
    <xf numFmtId="0" fontId="0" fillId="34" borderId="0" xfId="0" applyBorder="1" applyAlignment="1" applyProtection="1"/>
    <xf numFmtId="0" fontId="0" fillId="34" borderId="0" xfId="0" applyProtection="1"/>
    <xf numFmtId="0" fontId="0" fillId="34" borderId="0" xfId="0" applyAlignment="1" applyProtection="1">
      <alignment wrapText="1"/>
    </xf>
    <xf numFmtId="0" fontId="0" fillId="34" borderId="0" xfId="0" applyProtection="1"/>
    <xf numFmtId="0" fontId="0" fillId="34" borderId="0" xfId="0" applyAlignment="1" applyProtection="1">
      <alignment wrapText="1"/>
    </xf>
    <xf numFmtId="0" fontId="0" fillId="34" borderId="0" xfId="0" applyProtection="1"/>
    <xf numFmtId="0" fontId="28" fillId="34" borderId="52" xfId="0" applyFont="1" applyBorder="1" applyAlignment="1" applyProtection="1">
      <alignment vertical="top"/>
    </xf>
    <xf numFmtId="22" fontId="0" fillId="34" borderId="0" xfId="0" applyNumberFormat="1" applyFont="1" applyBorder="1" applyAlignment="1"/>
    <xf numFmtId="0" fontId="0" fillId="34" borderId="52" xfId="0" applyBorder="1" applyAlignment="1" applyProtection="1"/>
    <xf numFmtId="2" fontId="35" fillId="34" borderId="0" xfId="52" applyNumberFormat="1" applyBorder="1" applyAlignment="1">
      <alignment horizontal="center" vertical="top" wrapText="1"/>
    </xf>
    <xf numFmtId="0" fontId="0" fillId="41" borderId="124" xfId="0" applyFill="1" applyBorder="1" applyAlignment="1" applyProtection="1">
      <alignment horizontal="center"/>
      <protection locked="0"/>
    </xf>
    <xf numFmtId="0" fontId="0" fillId="34" borderId="0" xfId="0" applyAlignment="1" applyProtection="1">
      <alignment wrapText="1"/>
    </xf>
    <xf numFmtId="0" fontId="0" fillId="34" borderId="0" xfId="0" applyProtection="1"/>
    <xf numFmtId="0" fontId="25" fillId="40" borderId="36" xfId="0" applyFont="1" applyFill="1" applyBorder="1" applyAlignment="1">
      <alignment horizontal="left"/>
    </xf>
    <xf numFmtId="0" fontId="25" fillId="40" borderId="19" xfId="0" applyFont="1" applyFill="1" applyBorder="1" applyAlignment="1">
      <alignment horizontal="left"/>
    </xf>
    <xf numFmtId="0" fontId="39" fillId="34" borderId="0" xfId="0" applyFont="1" applyBorder="1" applyAlignment="1">
      <alignment vertical="center"/>
    </xf>
    <xf numFmtId="0" fontId="0" fillId="34" borderId="0" xfId="0" applyBorder="1" applyAlignment="1">
      <alignment vertical="center"/>
    </xf>
    <xf numFmtId="0" fontId="35" fillId="34" borderId="52" xfId="52" applyNumberFormat="1" applyBorder="1" applyAlignment="1">
      <alignment vertical="top"/>
    </xf>
    <xf numFmtId="2" fontId="38" fillId="34" borderId="19" xfId="0" applyNumberFormat="1" applyFont="1" applyBorder="1" applyAlignment="1">
      <alignment vertical="center"/>
    </xf>
    <xf numFmtId="0" fontId="25" fillId="34" borderId="105" xfId="0" applyFont="1" applyBorder="1" applyAlignment="1">
      <alignment horizontal="left"/>
    </xf>
    <xf numFmtId="0" fontId="25" fillId="34" borderId="0" xfId="0" applyFont="1" applyBorder="1" applyAlignment="1">
      <alignment wrapText="1"/>
    </xf>
    <xf numFmtId="0" fontId="28" fillId="34" borderId="0" xfId="0" applyFont="1" applyBorder="1" applyAlignment="1">
      <alignment vertical="top" wrapText="1"/>
    </xf>
    <xf numFmtId="0" fontId="0" fillId="34" borderId="54" xfId="0" applyBorder="1" applyProtection="1"/>
    <xf numFmtId="0" fontId="0" fillId="34" borderId="0" xfId="0" applyFont="1" applyBorder="1" applyAlignment="1"/>
    <xf numFmtId="0" fontId="0" fillId="41" borderId="134" xfId="0" applyFont="1" applyFill="1" applyBorder="1" applyAlignment="1" applyProtection="1">
      <alignment horizontal="center" wrapText="1"/>
      <protection locked="0"/>
    </xf>
    <xf numFmtId="0" fontId="0" fillId="41" borderId="135" xfId="0" applyFont="1" applyFill="1" applyBorder="1" applyAlignment="1" applyProtection="1">
      <alignment horizontal="center" wrapText="1"/>
      <protection locked="0"/>
    </xf>
    <xf numFmtId="0" fontId="0" fillId="40" borderId="136" xfId="0" applyFont="1" applyFill="1" applyBorder="1" applyAlignment="1">
      <alignment horizontal="center" wrapText="1"/>
    </xf>
    <xf numFmtId="2" fontId="38" fillId="42" borderId="16" xfId="50" applyAlignment="1">
      <alignment horizontal="left" vertical="center"/>
    </xf>
    <xf numFmtId="0" fontId="37" fillId="40" borderId="63" xfId="0" applyFont="1" applyFill="1" applyBorder="1" applyAlignment="1">
      <alignment horizontal="center" vertical="center" wrapText="1"/>
    </xf>
    <xf numFmtId="0" fontId="37" fillId="40" borderId="64" xfId="0" applyFont="1" applyFill="1" applyBorder="1" applyAlignment="1">
      <alignment horizontal="center" vertical="center" wrapText="1"/>
    </xf>
    <xf numFmtId="0" fontId="37" fillId="40" borderId="65" xfId="0" applyFont="1" applyFill="1" applyBorder="1" applyAlignment="1">
      <alignment horizontal="center" vertical="center" wrapText="1"/>
    </xf>
    <xf numFmtId="0" fontId="37" fillId="40" borderId="64" xfId="0" applyFont="1" applyFill="1" applyBorder="1" applyAlignment="1">
      <alignment horizontal="center" vertical="center"/>
    </xf>
    <xf numFmtId="0" fontId="37" fillId="40" borderId="126" xfId="0" applyFont="1" applyFill="1" applyBorder="1" applyAlignment="1" applyProtection="1">
      <alignment horizontal="center" vertical="center" wrapText="1"/>
    </xf>
    <xf numFmtId="0" fontId="37" fillId="40" borderId="63" xfId="0" applyFont="1" applyFill="1" applyBorder="1" applyAlignment="1" applyProtection="1">
      <alignment horizontal="center" vertical="center" wrapText="1"/>
    </xf>
    <xf numFmtId="0" fontId="37" fillId="40" borderId="66" xfId="0" applyFont="1" applyFill="1" applyBorder="1" applyAlignment="1" applyProtection="1">
      <alignment horizontal="center" vertical="center" wrapText="1"/>
    </xf>
    <xf numFmtId="0" fontId="37" fillId="40" borderId="64" xfId="0" applyFont="1" applyFill="1" applyBorder="1" applyAlignment="1" applyProtection="1">
      <alignment horizontal="center" vertical="center" wrapText="1"/>
    </xf>
    <xf numFmtId="0" fontId="37" fillId="40" borderId="81" xfId="0" applyFont="1" applyFill="1" applyBorder="1" applyAlignment="1" applyProtection="1">
      <alignment horizontal="center" vertical="center" wrapText="1"/>
    </xf>
    <xf numFmtId="0" fontId="37" fillId="40" borderId="65" xfId="0" applyFont="1" applyFill="1" applyBorder="1" applyAlignment="1" applyProtection="1">
      <alignment horizontal="center" vertical="center" wrapText="1"/>
    </xf>
    <xf numFmtId="0" fontId="37" fillId="40" borderId="64" xfId="0" applyFont="1" applyFill="1" applyBorder="1" applyAlignment="1" applyProtection="1">
      <alignment horizontal="center" vertical="center"/>
    </xf>
    <xf numFmtId="2" fontId="38" fillId="42" borderId="131" xfId="50" applyFill="1" applyBorder="1" applyAlignment="1">
      <alignment vertical="center"/>
    </xf>
    <xf numFmtId="2" fontId="38" fillId="42" borderId="132" xfId="50" applyFill="1" applyBorder="1" applyAlignment="1">
      <alignment vertical="center"/>
    </xf>
    <xf numFmtId="0" fontId="0" fillId="43" borderId="82" xfId="0" applyNumberFormat="1" applyFont="1" applyFill="1" applyBorder="1" applyAlignment="1" applyProtection="1">
      <alignment horizontal="left" vertical="top"/>
      <protection locked="0"/>
    </xf>
    <xf numFmtId="0" fontId="37" fillId="40" borderId="81" xfId="0" applyFont="1" applyFill="1" applyBorder="1" applyAlignment="1">
      <alignment horizontal="center" vertical="center" wrapText="1"/>
    </xf>
    <xf numFmtId="0" fontId="37" fillId="40" borderId="66" xfId="0" applyFont="1" applyFill="1" applyBorder="1" applyAlignment="1">
      <alignment horizontal="center" vertical="center" wrapText="1"/>
    </xf>
    <xf numFmtId="0" fontId="0" fillId="43" borderId="83" xfId="0" applyNumberFormat="1" applyFont="1" applyFill="1" applyBorder="1" applyAlignment="1" applyProtection="1">
      <alignment horizontal="left" vertical="top"/>
      <protection locked="0"/>
    </xf>
    <xf numFmtId="0" fontId="0" fillId="34" borderId="0" xfId="0" applyAlignment="1" applyProtection="1">
      <alignment horizontal="center" vertical="center"/>
    </xf>
    <xf numFmtId="0" fontId="25" fillId="40" borderId="19" xfId="0" applyFont="1" applyFill="1" applyBorder="1" applyAlignment="1">
      <alignment horizontal="left"/>
    </xf>
    <xf numFmtId="0" fontId="25" fillId="40" borderId="85" xfId="0" applyFont="1" applyFill="1" applyBorder="1" applyAlignment="1">
      <alignment horizontal="left"/>
    </xf>
    <xf numFmtId="0" fontId="25" fillId="40" borderId="32" xfId="0" applyFont="1" applyFill="1" applyBorder="1" applyAlignment="1">
      <alignment horizontal="left"/>
    </xf>
    <xf numFmtId="0" fontId="25" fillId="40" borderId="86" xfId="0" applyFont="1" applyFill="1" applyBorder="1" applyAlignment="1">
      <alignment horizontal="left"/>
    </xf>
    <xf numFmtId="0" fontId="0" fillId="34" borderId="0" xfId="0" applyProtection="1"/>
    <xf numFmtId="2" fontId="35" fillId="34" borderId="0" xfId="52" applyNumberFormat="1" applyBorder="1" applyAlignment="1">
      <alignment vertical="top" wrapText="1"/>
    </xf>
    <xf numFmtId="0" fontId="0" fillId="40" borderId="58" xfId="0" applyFill="1" applyBorder="1" applyAlignment="1" applyProtection="1">
      <alignment horizontal="center"/>
      <protection locked="0"/>
    </xf>
    <xf numFmtId="0" fontId="28" fillId="34" borderId="0" xfId="0" applyFont="1" applyBorder="1" applyAlignment="1"/>
    <xf numFmtId="2" fontId="38" fillId="42" borderId="16" xfId="50" applyBorder="1" applyAlignment="1">
      <alignment horizontal="left" vertical="center"/>
    </xf>
    <xf numFmtId="0" fontId="0" fillId="40" borderId="61" xfId="0" applyFill="1" applyBorder="1" applyAlignment="1" applyProtection="1">
      <alignment horizontal="center"/>
      <protection locked="0"/>
    </xf>
    <xf numFmtId="0" fontId="0" fillId="34" borderId="0" xfId="0" applyProtection="1"/>
    <xf numFmtId="0" fontId="25" fillId="40" borderId="77" xfId="0" applyFont="1" applyFill="1" applyBorder="1" applyAlignment="1"/>
    <xf numFmtId="0" fontId="25" fillId="40" borderId="104" xfId="0" applyFont="1" applyFill="1" applyBorder="1" applyAlignment="1"/>
    <xf numFmtId="0" fontId="25" fillId="40" borderId="78" xfId="0" applyFont="1" applyFill="1" applyBorder="1" applyAlignment="1"/>
    <xf numFmtId="0" fontId="25" fillId="40" borderId="75" xfId="0" applyFont="1" applyFill="1" applyBorder="1" applyAlignment="1"/>
    <xf numFmtId="0" fontId="25" fillId="40" borderId="74" xfId="0" applyFont="1" applyFill="1" applyBorder="1" applyAlignment="1"/>
    <xf numFmtId="0" fontId="25" fillId="40" borderId="76" xfId="0" applyFont="1" applyFill="1" applyBorder="1" applyAlignment="1"/>
    <xf numFmtId="0" fontId="0" fillId="34" borderId="0" xfId="0" applyAlignment="1" applyProtection="1">
      <alignment horizontal="left" vertical="top"/>
    </xf>
    <xf numFmtId="0" fontId="0" fillId="34" borderId="0" xfId="0" applyFont="1" applyBorder="1" applyAlignment="1">
      <alignment horizontal="left" vertical="top"/>
    </xf>
    <xf numFmtId="0" fontId="0" fillId="34" borderId="0" xfId="0" applyAlignment="1" applyProtection="1">
      <alignment horizontal="left" vertical="top" wrapText="1"/>
    </xf>
    <xf numFmtId="0" fontId="0" fillId="34" borderId="0" xfId="0" applyAlignment="1">
      <alignment horizontal="left" vertical="top"/>
    </xf>
    <xf numFmtId="0" fontId="0" fillId="34" borderId="0" xfId="0" applyProtection="1"/>
    <xf numFmtId="0" fontId="0" fillId="34" borderId="0" xfId="0" applyBorder="1" applyAlignment="1">
      <alignment horizontal="left" vertical="top"/>
    </xf>
    <xf numFmtId="0" fontId="0" fillId="34" borderId="0" xfId="0" applyBorder="1" applyAlignment="1">
      <alignment vertical="top"/>
    </xf>
    <xf numFmtId="0" fontId="25" fillId="40" borderId="148" xfId="0" applyFont="1" applyFill="1" applyBorder="1" applyAlignment="1">
      <alignment horizontal="left"/>
    </xf>
    <xf numFmtId="0" fontId="25" fillId="40" borderId="122" xfId="0" applyFont="1" applyFill="1" applyBorder="1" applyAlignment="1">
      <alignment horizontal="left"/>
    </xf>
    <xf numFmtId="22" fontId="0" fillId="41" borderId="31" xfId="0" applyNumberFormat="1" applyFont="1" applyFill="1" applyBorder="1" applyAlignment="1" applyProtection="1">
      <alignment horizontal="center" wrapText="1"/>
      <protection locked="0"/>
    </xf>
    <xf numFmtId="0" fontId="0" fillId="41" borderId="58" xfId="0" applyFill="1" applyBorder="1" applyAlignment="1" applyProtection="1">
      <alignment horizontal="center" wrapText="1"/>
      <protection locked="0"/>
    </xf>
    <xf numFmtId="0" fontId="0" fillId="41" borderId="61" xfId="0" applyFill="1" applyBorder="1" applyAlignment="1" applyProtection="1">
      <alignment horizontal="center" wrapText="1"/>
      <protection locked="0"/>
    </xf>
    <xf numFmtId="0" fontId="25" fillId="43" borderId="57" xfId="0" applyFont="1" applyFill="1" applyBorder="1" applyAlignment="1" applyProtection="1">
      <alignment horizontal="center" wrapText="1"/>
      <protection locked="0"/>
    </xf>
    <xf numFmtId="0" fontId="25" fillId="43" borderId="60" xfId="0" applyFont="1" applyFill="1" applyBorder="1" applyAlignment="1" applyProtection="1">
      <alignment horizontal="center" wrapText="1"/>
      <protection locked="0"/>
    </xf>
    <xf numFmtId="0" fontId="0" fillId="41" borderId="59" xfId="0" applyFont="1" applyFill="1" applyBorder="1" applyAlignment="1" applyProtection="1">
      <alignment horizontal="center" wrapText="1"/>
      <protection locked="0"/>
    </xf>
    <xf numFmtId="0" fontId="0" fillId="41" borderId="62" xfId="0" applyFont="1" applyFill="1" applyBorder="1" applyAlignment="1" applyProtection="1">
      <alignment horizontal="center" wrapText="1"/>
      <protection locked="0"/>
    </xf>
    <xf numFmtId="1" fontId="0" fillId="33" borderId="113" xfId="0" applyNumberFormat="1" applyFont="1" applyFill="1" applyBorder="1" applyAlignment="1" applyProtection="1">
      <alignment horizontal="left"/>
      <protection locked="0"/>
    </xf>
    <xf numFmtId="2" fontId="38" fillId="42" borderId="130" xfId="50" applyFill="1" applyBorder="1" applyAlignment="1">
      <alignment horizontal="left" vertical="center" indent="1"/>
    </xf>
    <xf numFmtId="1" fontId="0" fillId="33" borderId="120" xfId="0" applyNumberFormat="1" applyFont="1" applyFill="1" applyBorder="1" applyAlignment="1" applyProtection="1">
      <alignment horizontal="left"/>
      <protection locked="0"/>
    </xf>
    <xf numFmtId="0" fontId="0" fillId="41" borderId="50" xfId="0" applyNumberFormat="1" applyFont="1" applyFill="1" applyBorder="1" applyAlignment="1" applyProtection="1">
      <alignment horizontal="left"/>
      <protection locked="0"/>
    </xf>
    <xf numFmtId="0" fontId="0" fillId="41" borderId="50" xfId="0" applyFont="1" applyFill="1" applyBorder="1" applyAlignment="1" applyProtection="1">
      <alignment horizontal="left" wrapText="1"/>
      <protection locked="0"/>
    </xf>
    <xf numFmtId="0" fontId="37" fillId="40" borderId="66" xfId="0" applyFont="1" applyFill="1" applyBorder="1" applyAlignment="1" applyProtection="1">
      <alignment horizontal="center" vertical="center" wrapText="1"/>
    </xf>
    <xf numFmtId="0" fontId="25" fillId="40" borderId="87" xfId="0" applyFont="1" applyFill="1" applyBorder="1" applyAlignment="1"/>
    <xf numFmtId="0" fontId="25" fillId="40" borderId="88" xfId="0" applyFont="1" applyFill="1" applyBorder="1" applyAlignment="1"/>
    <xf numFmtId="0" fontId="37" fillId="40" borderId="84" xfId="0" applyFont="1" applyFill="1" applyBorder="1" applyAlignment="1">
      <alignment horizontal="center" vertical="center" wrapText="1"/>
    </xf>
    <xf numFmtId="0" fontId="39" fillId="34" borderId="0" xfId="0" applyFont="1" applyBorder="1" applyAlignment="1">
      <alignment vertical="center"/>
    </xf>
    <xf numFmtId="0" fontId="0" fillId="34" borderId="0" xfId="0" applyProtection="1"/>
    <xf numFmtId="0" fontId="0" fillId="34" borderId="0" xfId="0" applyProtection="1"/>
    <xf numFmtId="0" fontId="25" fillId="40" borderId="0" xfId="0" applyFont="1" applyFill="1" applyBorder="1" applyAlignment="1">
      <alignment horizontal="left"/>
    </xf>
    <xf numFmtId="0" fontId="25" fillId="40" borderId="104" xfId="0" applyFont="1" applyFill="1" applyBorder="1" applyAlignment="1"/>
    <xf numFmtId="0" fontId="25" fillId="40" borderId="78" xfId="0" applyFont="1" applyFill="1" applyBorder="1" applyAlignment="1"/>
    <xf numFmtId="0" fontId="25" fillId="40" borderId="36" xfId="0" applyFont="1" applyFill="1" applyBorder="1" applyAlignment="1"/>
    <xf numFmtId="0" fontId="25" fillId="40" borderId="69" xfId="0" applyFont="1" applyFill="1" applyBorder="1" applyAlignment="1"/>
    <xf numFmtId="0" fontId="25" fillId="40" borderId="79" xfId="0" applyFont="1" applyFill="1" applyBorder="1" applyAlignment="1"/>
    <xf numFmtId="0" fontId="25" fillId="40" borderId="69" xfId="0" applyFont="1" applyFill="1" applyBorder="1" applyAlignment="1">
      <alignment horizontal="left"/>
    </xf>
    <xf numFmtId="0" fontId="0" fillId="34" borderId="0" xfId="0" applyProtection="1"/>
    <xf numFmtId="0" fontId="25" fillId="40" borderId="74" xfId="0" applyFont="1" applyFill="1" applyBorder="1" applyAlignment="1"/>
    <xf numFmtId="0" fontId="25" fillId="40" borderId="76" xfId="0" applyFont="1" applyFill="1" applyBorder="1" applyAlignment="1"/>
    <xf numFmtId="0" fontId="0" fillId="38" borderId="0" xfId="0" applyFill="1" applyBorder="1" applyAlignment="1" applyProtection="1">
      <alignment wrapText="1"/>
    </xf>
    <xf numFmtId="0" fontId="28" fillId="38" borderId="0" xfId="0" applyFont="1" applyFill="1" applyBorder="1" applyAlignment="1" applyProtection="1">
      <alignment wrapText="1"/>
    </xf>
    <xf numFmtId="2" fontId="40" fillId="38" borderId="0" xfId="49" applyFont="1" applyFill="1" applyBorder="1" applyAlignment="1" applyProtection="1">
      <alignment horizontal="right" vertical="center"/>
    </xf>
    <xf numFmtId="2" fontId="41" fillId="38" borderId="0" xfId="49" applyFont="1" applyFill="1" applyBorder="1" applyAlignment="1" applyProtection="1">
      <alignment horizontal="center" vertical="center"/>
    </xf>
    <xf numFmtId="2" fontId="40" fillId="38" borderId="0" xfId="49" applyFont="1" applyFill="1" applyBorder="1" applyAlignment="1" applyProtection="1">
      <alignment vertical="center"/>
    </xf>
    <xf numFmtId="0" fontId="0" fillId="38" borderId="0" xfId="0" applyFill="1" applyBorder="1" applyAlignment="1">
      <alignment wrapText="1"/>
    </xf>
    <xf numFmtId="0" fontId="0" fillId="38" borderId="0" xfId="0" applyFill="1" applyBorder="1"/>
    <xf numFmtId="2" fontId="42" fillId="38" borderId="0" xfId="49" applyFont="1" applyFill="1" applyBorder="1" applyAlignment="1" applyProtection="1">
      <alignment vertical="center"/>
    </xf>
    <xf numFmtId="0" fontId="41" fillId="44" borderId="0" xfId="48" applyNumberFormat="1" applyFont="1" applyFill="1" applyBorder="1" applyAlignment="1" applyProtection="1">
      <alignment horizontal="center" vertical="center"/>
    </xf>
    <xf numFmtId="2" fontId="24" fillId="38" borderId="0" xfId="49" applyFill="1" applyBorder="1">
      <alignment vertical="center"/>
    </xf>
    <xf numFmtId="2" fontId="24" fillId="38" borderId="0" xfId="49" applyFill="1" applyBorder="1" applyAlignment="1">
      <alignment vertical="center" wrapText="1"/>
    </xf>
    <xf numFmtId="2" fontId="27" fillId="38" borderId="0" xfId="0" applyNumberFormat="1" applyFont="1" applyFill="1" applyBorder="1" applyProtection="1"/>
    <xf numFmtId="0" fontId="28" fillId="38" borderId="0" xfId="0" applyFont="1" applyFill="1" applyBorder="1" applyProtection="1"/>
    <xf numFmtId="2" fontId="28" fillId="38" borderId="0" xfId="0" applyNumberFormat="1" applyFont="1" applyFill="1" applyBorder="1" applyProtection="1"/>
    <xf numFmtId="2" fontId="24" fillId="34" borderId="0" xfId="49" applyFill="1" applyBorder="1" applyProtection="1">
      <alignment vertical="center"/>
    </xf>
    <xf numFmtId="2" fontId="24" fillId="34" borderId="0" xfId="49" applyFill="1" applyBorder="1" applyAlignment="1" applyProtection="1">
      <alignment vertical="center" wrapText="1"/>
    </xf>
    <xf numFmtId="2" fontId="24" fillId="34" borderId="0" xfId="49" applyFill="1" applyBorder="1" applyAlignment="1" applyProtection="1">
      <alignment vertical="center"/>
    </xf>
    <xf numFmtId="0" fontId="0" fillId="34" borderId="0" xfId="0" applyFill="1" applyBorder="1" applyProtection="1"/>
    <xf numFmtId="0" fontId="25" fillId="46" borderId="46" xfId="0" applyFont="1" applyFill="1" applyBorder="1" applyAlignment="1">
      <alignment horizontal="left" vertical="top" wrapText="1"/>
    </xf>
    <xf numFmtId="0" fontId="25" fillId="46" borderId="47" xfId="0" applyFont="1" applyFill="1" applyBorder="1" applyAlignment="1">
      <alignment horizontal="left" wrapText="1"/>
    </xf>
    <xf numFmtId="0" fontId="25" fillId="46" borderId="34" xfId="0" applyFont="1" applyFill="1" applyBorder="1" applyAlignment="1">
      <alignment horizontal="left"/>
    </xf>
    <xf numFmtId="0" fontId="25" fillId="40" borderId="121" xfId="0" applyFont="1" applyFill="1" applyBorder="1" applyAlignment="1">
      <alignment horizontal="left"/>
    </xf>
    <xf numFmtId="0" fontId="25" fillId="40" borderId="170" xfId="0" applyFont="1" applyFill="1" applyBorder="1" applyAlignment="1">
      <alignment horizontal="left"/>
    </xf>
    <xf numFmtId="49" fontId="0" fillId="0" borderId="33" xfId="0" applyNumberFormat="1" applyFont="1" applyFill="1" applyBorder="1" applyAlignment="1" applyProtection="1">
      <alignment horizontal="left"/>
      <protection locked="0"/>
    </xf>
    <xf numFmtId="49" fontId="0" fillId="0" borderId="35" xfId="0" applyNumberFormat="1" applyFont="1" applyFill="1" applyBorder="1" applyAlignment="1" applyProtection="1">
      <alignment horizontal="left"/>
      <protection locked="0"/>
    </xf>
    <xf numFmtId="1" fontId="0" fillId="0" borderId="35" xfId="0" applyNumberFormat="1" applyFont="1" applyFill="1" applyBorder="1" applyAlignment="1" applyProtection="1">
      <alignment horizontal="left"/>
      <protection locked="0"/>
    </xf>
    <xf numFmtId="0" fontId="25" fillId="47" borderId="34" xfId="0" applyFont="1" applyFill="1" applyBorder="1" applyAlignment="1">
      <alignment horizontal="left"/>
    </xf>
    <xf numFmtId="0" fontId="25" fillId="47" borderId="34" xfId="0" applyFont="1" applyFill="1" applyBorder="1" applyAlignment="1">
      <alignment horizontal="left" wrapText="1"/>
    </xf>
    <xf numFmtId="0" fontId="0" fillId="38" borderId="0" xfId="0" applyFill="1" applyBorder="1" applyAlignment="1" applyProtection="1">
      <alignment horizontal="left" wrapText="1"/>
    </xf>
    <xf numFmtId="2" fontId="24" fillId="38" borderId="0" xfId="49" applyFill="1" applyBorder="1" applyAlignment="1" applyProtection="1">
      <alignment horizontal="left" vertical="center" wrapText="1"/>
    </xf>
    <xf numFmtId="0" fontId="0" fillId="34" borderId="0" xfId="0" applyAlignment="1" applyProtection="1">
      <alignment horizontal="left" wrapText="1"/>
    </xf>
    <xf numFmtId="22" fontId="0" fillId="41" borderId="33" xfId="0" applyNumberFormat="1" applyFont="1" applyFill="1" applyBorder="1" applyAlignment="1" applyProtection="1">
      <alignment horizontal="left"/>
      <protection locked="0"/>
    </xf>
    <xf numFmtId="0" fontId="0" fillId="0" borderId="31" xfId="0" applyFont="1" applyFill="1" applyBorder="1" applyAlignment="1" applyProtection="1">
      <alignment horizontal="left"/>
      <protection locked="0"/>
    </xf>
    <xf numFmtId="0" fontId="0" fillId="34" borderId="0" xfId="0" applyAlignment="1" applyProtection="1">
      <alignment horizontal="left"/>
    </xf>
    <xf numFmtId="2" fontId="40" fillId="34" borderId="0" xfId="49" applyFont="1" applyFill="1" applyBorder="1" applyAlignment="1" applyProtection="1">
      <alignment horizontal="right" vertical="center"/>
    </xf>
    <xf numFmtId="2" fontId="41" fillId="34" borderId="0" xfId="49" applyFont="1" applyFill="1" applyBorder="1" applyAlignment="1" applyProtection="1">
      <alignment horizontal="center" vertical="center"/>
    </xf>
    <xf numFmtId="2" fontId="40" fillId="34" borderId="10" xfId="49" applyFont="1" applyFill="1" applyAlignment="1" applyProtection="1">
      <alignment vertical="center"/>
    </xf>
    <xf numFmtId="2" fontId="24" fillId="34" borderId="0" xfId="49" applyFill="1" applyBorder="1">
      <alignment vertical="center"/>
    </xf>
    <xf numFmtId="2" fontId="24" fillId="34" borderId="0" xfId="49" applyFill="1" applyBorder="1" applyAlignment="1">
      <alignment vertical="center" wrapText="1"/>
    </xf>
    <xf numFmtId="0" fontId="35" fillId="34" borderId="19" xfId="0" applyNumberFormat="1" applyFont="1" applyBorder="1" applyAlignment="1">
      <alignment vertical="top" wrapText="1"/>
    </xf>
    <xf numFmtId="0" fontId="25" fillId="40" borderId="172" xfId="0" applyFont="1" applyFill="1" applyBorder="1" applyAlignment="1">
      <alignment wrapText="1"/>
    </xf>
    <xf numFmtId="0" fontId="25" fillId="40" borderId="173" xfId="0" applyFont="1" applyFill="1" applyBorder="1" applyAlignment="1">
      <alignment horizontal="left"/>
    </xf>
    <xf numFmtId="0" fontId="25" fillId="40" borderId="174" xfId="0" applyFont="1" applyFill="1" applyBorder="1" applyAlignment="1">
      <alignment horizontal="left"/>
    </xf>
    <xf numFmtId="0" fontId="25" fillId="40" borderId="175" xfId="0" applyFont="1" applyFill="1" applyBorder="1" applyAlignment="1">
      <alignment horizontal="left"/>
    </xf>
    <xf numFmtId="0" fontId="25" fillId="40" borderId="171" xfId="0" applyFont="1" applyFill="1" applyBorder="1" applyAlignment="1">
      <alignment horizontal="left"/>
    </xf>
    <xf numFmtId="0" fontId="37" fillId="40" borderId="178" xfId="0" applyFont="1" applyFill="1" applyBorder="1" applyAlignment="1">
      <alignment horizontal="center" vertical="center" wrapText="1"/>
    </xf>
    <xf numFmtId="168" fontId="0" fillId="0" borderId="15" xfId="0" applyNumberFormat="1" applyFont="1" applyFill="1" applyBorder="1" applyAlignment="1" applyProtection="1">
      <alignment horizontal="left"/>
      <protection locked="0"/>
    </xf>
    <xf numFmtId="2" fontId="34" fillId="0" borderId="14" xfId="0" applyNumberFormat="1" applyFont="1" applyFill="1" applyBorder="1" applyAlignment="1" applyProtection="1">
      <alignment horizontal="center"/>
      <protection locked="0"/>
    </xf>
    <xf numFmtId="2" fontId="0" fillId="0" borderId="29" xfId="0" applyNumberFormat="1" applyFont="1" applyFill="1" applyBorder="1" applyAlignment="1" applyProtection="1">
      <alignment horizontal="center"/>
      <protection locked="0"/>
    </xf>
    <xf numFmtId="0" fontId="37" fillId="40" borderId="178" xfId="0" applyFont="1" applyFill="1" applyBorder="1" applyAlignment="1">
      <alignment vertical="center" wrapText="1"/>
    </xf>
    <xf numFmtId="2" fontId="34" fillId="0" borderId="179" xfId="0" applyNumberFormat="1" applyFont="1" applyFill="1" applyBorder="1" applyAlignment="1" applyProtection="1">
      <alignment horizontal="center"/>
      <protection locked="0"/>
    </xf>
    <xf numFmtId="2" fontId="34" fillId="0" borderId="12" xfId="0" applyNumberFormat="1" applyFont="1" applyFill="1" applyBorder="1" applyAlignment="1" applyProtection="1">
      <alignment horizontal="center"/>
      <protection locked="0"/>
    </xf>
    <xf numFmtId="0" fontId="25" fillId="46" borderId="46" xfId="0" applyFont="1" applyFill="1" applyBorder="1" applyAlignment="1"/>
    <xf numFmtId="0" fontId="25" fillId="46" borderId="98" xfId="0" applyFont="1" applyFill="1" applyBorder="1" applyAlignment="1"/>
    <xf numFmtId="0" fontId="0" fillId="40" borderId="58" xfId="0" applyNumberFormat="1" applyFont="1" applyFill="1" applyBorder="1" applyAlignment="1" applyProtection="1">
      <alignment horizontal="left" wrapText="1"/>
      <protection locked="0"/>
    </xf>
    <xf numFmtId="0" fontId="0" fillId="40" borderId="61" xfId="0" applyNumberFormat="1" applyFont="1" applyFill="1" applyBorder="1" applyAlignment="1" applyProtection="1">
      <alignment horizontal="left" wrapText="1"/>
      <protection locked="0"/>
    </xf>
    <xf numFmtId="49" fontId="0" fillId="40" borderId="58" xfId="0" applyNumberFormat="1" applyFont="1" applyFill="1" applyBorder="1" applyAlignment="1" applyProtection="1">
      <alignment horizontal="left"/>
      <protection locked="0"/>
    </xf>
    <xf numFmtId="49" fontId="0" fillId="40" borderId="61" xfId="0" applyNumberFormat="1" applyFont="1" applyFill="1" applyBorder="1" applyAlignment="1" applyProtection="1">
      <alignment horizontal="left"/>
      <protection locked="0"/>
    </xf>
    <xf numFmtId="49" fontId="0" fillId="40" borderId="58" xfId="0" applyNumberFormat="1" applyFont="1" applyFill="1" applyBorder="1" applyAlignment="1" applyProtection="1">
      <alignment horizontal="left" wrapText="1"/>
      <protection locked="0"/>
    </xf>
    <xf numFmtId="0" fontId="0" fillId="40" borderId="59" xfId="0" applyNumberFormat="1" applyFont="1" applyFill="1" applyBorder="1" applyAlignment="1" applyProtection="1">
      <alignment horizontal="left" wrapText="1"/>
      <protection locked="0"/>
    </xf>
    <xf numFmtId="49" fontId="0" fillId="40" borderId="61" xfId="0" applyNumberFormat="1" applyFont="1" applyFill="1" applyBorder="1" applyAlignment="1" applyProtection="1">
      <alignment horizontal="left" wrapText="1"/>
      <protection locked="0"/>
    </xf>
    <xf numFmtId="0" fontId="0" fillId="40" borderId="141" xfId="0" applyNumberFormat="1" applyFont="1" applyFill="1" applyBorder="1" applyAlignment="1" applyProtection="1">
      <alignment horizontal="left" wrapText="1"/>
      <protection locked="0"/>
    </xf>
    <xf numFmtId="0" fontId="0" fillId="33" borderId="0" xfId="0" quotePrefix="1" applyFont="1" applyFill="1" applyAlignment="1" applyProtection="1">
      <alignment vertical="top"/>
    </xf>
    <xf numFmtId="0" fontId="0" fillId="40" borderId="67" xfId="0" applyNumberFormat="1" applyFont="1" applyFill="1" applyBorder="1" applyAlignment="1" applyProtection="1">
      <alignment horizontal="left" wrapText="1"/>
      <protection locked="0"/>
    </xf>
    <xf numFmtId="0" fontId="0" fillId="40" borderId="68" xfId="0" applyNumberFormat="1" applyFont="1" applyFill="1" applyBorder="1" applyAlignment="1" applyProtection="1">
      <alignment horizontal="left" wrapText="1"/>
      <protection locked="0"/>
    </xf>
    <xf numFmtId="0" fontId="0" fillId="41" borderId="58" xfId="0" applyFill="1" applyBorder="1" applyAlignment="1" applyProtection="1">
      <alignment horizontal="left"/>
      <protection locked="0"/>
    </xf>
    <xf numFmtId="0" fontId="0" fillId="34" borderId="0" xfId="0" applyBorder="1" applyAlignment="1">
      <alignment horizontal="left"/>
    </xf>
    <xf numFmtId="0" fontId="25" fillId="43" borderId="82" xfId="0" applyNumberFormat="1" applyFont="1" applyFill="1" applyBorder="1" applyAlignment="1" applyProtection="1">
      <alignment horizontal="left"/>
      <protection locked="0"/>
    </xf>
    <xf numFmtId="0" fontId="0" fillId="34" borderId="0" xfId="0" applyBorder="1" applyAlignment="1" applyProtection="1">
      <alignment horizontal="left"/>
    </xf>
    <xf numFmtId="0" fontId="25" fillId="43" borderId="83" xfId="0" applyNumberFormat="1" applyFont="1" applyFill="1" applyBorder="1" applyAlignment="1" applyProtection="1">
      <alignment horizontal="left"/>
      <protection locked="0"/>
    </xf>
    <xf numFmtId="0" fontId="0" fillId="37" borderId="58" xfId="0" applyNumberFormat="1" applyFont="1" applyFill="1" applyBorder="1" applyAlignment="1" applyProtection="1">
      <alignment horizontal="center" wrapText="1"/>
      <protection locked="0"/>
    </xf>
    <xf numFmtId="0" fontId="0" fillId="37" borderId="61" xfId="0" applyNumberFormat="1" applyFont="1" applyFill="1" applyBorder="1" applyAlignment="1" applyProtection="1">
      <alignment horizontal="center" wrapText="1"/>
      <protection locked="0"/>
    </xf>
    <xf numFmtId="0" fontId="0" fillId="37" borderId="138" xfId="0" applyFont="1" applyFill="1" applyBorder="1" applyAlignment="1">
      <alignment horizontal="center" wrapText="1"/>
    </xf>
    <xf numFmtId="0" fontId="0" fillId="37" borderId="139" xfId="0" applyFill="1" applyBorder="1" applyAlignment="1">
      <alignment horizontal="center" wrapText="1"/>
    </xf>
    <xf numFmtId="0" fontId="0" fillId="41" borderId="180" xfId="0" applyFill="1" applyBorder="1" applyAlignment="1" applyProtection="1">
      <alignment horizontal="center"/>
      <protection locked="0"/>
    </xf>
    <xf numFmtId="0" fontId="25" fillId="40" borderId="185" xfId="0" applyFont="1" applyFill="1" applyBorder="1" applyAlignment="1">
      <alignment horizontal="left"/>
    </xf>
    <xf numFmtId="0" fontId="25" fillId="40" borderId="186" xfId="0" applyFont="1" applyFill="1" applyBorder="1" applyAlignment="1">
      <alignment horizontal="left"/>
    </xf>
    <xf numFmtId="0" fontId="25" fillId="40" borderId="176" xfId="0" applyFont="1" applyFill="1" applyBorder="1" applyAlignment="1">
      <alignment vertical="center"/>
    </xf>
    <xf numFmtId="0" fontId="25" fillId="46" borderId="50" xfId="0" applyFont="1" applyFill="1" applyBorder="1" applyAlignment="1">
      <alignment horizontal="left"/>
    </xf>
    <xf numFmtId="0" fontId="25" fillId="46" borderId="36" xfId="0" applyFont="1" applyFill="1" applyBorder="1" applyAlignment="1">
      <alignment horizontal="left"/>
    </xf>
    <xf numFmtId="0" fontId="25" fillId="46" borderId="69" xfId="0" applyFont="1" applyFill="1" applyBorder="1" applyAlignment="1">
      <alignment horizontal="left"/>
    </xf>
    <xf numFmtId="0" fontId="25" fillId="46" borderId="79" xfId="0" applyFont="1" applyFill="1" applyBorder="1" applyAlignment="1">
      <alignment horizontal="left"/>
    </xf>
    <xf numFmtId="0" fontId="25" fillId="46" borderId="77" xfId="0" applyFont="1" applyFill="1" applyBorder="1" applyAlignment="1">
      <alignment horizontal="left"/>
    </xf>
    <xf numFmtId="0" fontId="25" fillId="46" borderId="104" xfId="0" applyFont="1" applyFill="1" applyBorder="1" applyAlignment="1">
      <alignment horizontal="left"/>
    </xf>
    <xf numFmtId="0" fontId="25" fillId="46" borderId="78" xfId="0" applyFont="1" applyFill="1" applyBorder="1" applyAlignment="1">
      <alignment horizontal="left"/>
    </xf>
    <xf numFmtId="49" fontId="0" fillId="41" borderId="109" xfId="0" applyNumberFormat="1" applyFont="1" applyFill="1" applyBorder="1" applyAlignment="1" applyProtection="1">
      <protection locked="0"/>
    </xf>
    <xf numFmtId="49" fontId="0" fillId="41" borderId="109" xfId="0" applyNumberFormat="1" applyFont="1" applyFill="1" applyBorder="1" applyAlignment="1" applyProtection="1">
      <alignment horizontal="left"/>
      <protection locked="0"/>
    </xf>
    <xf numFmtId="0" fontId="25" fillId="40" borderId="58" xfId="0" applyFont="1" applyFill="1" applyBorder="1" applyAlignment="1" applyProtection="1">
      <alignment horizontal="left" wrapText="1"/>
      <protection locked="0"/>
    </xf>
    <xf numFmtId="0" fontId="25" fillId="40" borderId="61" xfId="0" applyFont="1" applyFill="1" applyBorder="1" applyAlignment="1" applyProtection="1">
      <alignment horizontal="left" wrapText="1"/>
      <protection locked="0"/>
    </xf>
    <xf numFmtId="0" fontId="28" fillId="34" borderId="105" xfId="0" applyFont="1" applyBorder="1" applyAlignment="1" applyProtection="1"/>
    <xf numFmtId="0" fontId="0" fillId="34" borderId="0" xfId="0" applyProtection="1"/>
    <xf numFmtId="0" fontId="25" fillId="40" borderId="195" xfId="0" applyFont="1" applyFill="1" applyBorder="1" applyAlignment="1">
      <alignment horizontal="left" vertical="center"/>
    </xf>
    <xf numFmtId="0" fontId="0" fillId="37" borderId="138" xfId="0" applyFill="1" applyBorder="1" applyAlignment="1">
      <alignment horizontal="center" wrapText="1"/>
    </xf>
    <xf numFmtId="0" fontId="0" fillId="37" borderId="140" xfId="0" applyFill="1" applyBorder="1" applyAlignment="1">
      <alignment horizontal="center" wrapText="1"/>
    </xf>
    <xf numFmtId="0" fontId="0" fillId="40" borderId="67" xfId="0" applyNumberFormat="1" applyFont="1" applyFill="1" applyBorder="1" applyAlignment="1" applyProtection="1">
      <alignment wrapText="1"/>
      <protection locked="0"/>
    </xf>
    <xf numFmtId="0" fontId="0" fillId="40" borderId="58" xfId="0" applyNumberFormat="1" applyFont="1" applyFill="1" applyBorder="1" applyAlignment="1" applyProtection="1">
      <alignment horizontal="center" wrapText="1"/>
      <protection locked="0"/>
    </xf>
    <xf numFmtId="0" fontId="0" fillId="40" borderId="68" xfId="0" applyNumberFormat="1" applyFont="1" applyFill="1" applyBorder="1" applyAlignment="1" applyProtection="1">
      <alignment wrapText="1"/>
      <protection locked="0"/>
    </xf>
    <xf numFmtId="0" fontId="0" fillId="40" borderId="61" xfId="0" applyNumberFormat="1" applyFont="1" applyFill="1" applyBorder="1" applyAlignment="1" applyProtection="1">
      <alignment horizontal="center" wrapText="1"/>
      <protection locked="0"/>
    </xf>
    <xf numFmtId="0" fontId="0" fillId="40" borderId="58" xfId="0" applyFont="1" applyFill="1" applyBorder="1" applyAlignment="1" applyProtection="1">
      <alignment horizontal="left" wrapText="1"/>
      <protection locked="0"/>
    </xf>
    <xf numFmtId="0" fontId="0" fillId="40" borderId="61" xfId="0" applyFont="1" applyFill="1" applyBorder="1" applyAlignment="1" applyProtection="1">
      <alignment horizontal="left" wrapText="1"/>
      <protection locked="0"/>
    </xf>
    <xf numFmtId="0" fontId="25" fillId="40" borderId="34" xfId="0" applyNumberFormat="1" applyFont="1" applyFill="1" applyBorder="1" applyAlignment="1">
      <alignment horizontal="center" vertical="top"/>
    </xf>
    <xf numFmtId="0" fontId="25" fillId="40" borderId="36" xfId="0" applyNumberFormat="1" applyFont="1" applyFill="1" applyBorder="1" applyAlignment="1">
      <alignment horizontal="center" vertical="top"/>
    </xf>
    <xf numFmtId="0" fontId="25" fillId="40" borderId="34" xfId="0" applyNumberFormat="1" applyFont="1" applyFill="1" applyBorder="1" applyAlignment="1">
      <alignment horizontal="center" wrapText="1"/>
    </xf>
    <xf numFmtId="0" fontId="25" fillId="40" borderId="36" xfId="0" applyNumberFormat="1" applyFont="1" applyFill="1" applyBorder="1" applyAlignment="1">
      <alignment horizontal="center" wrapText="1"/>
    </xf>
    <xf numFmtId="0" fontId="0" fillId="34" borderId="0" xfId="0" applyProtection="1"/>
    <xf numFmtId="1" fontId="0" fillId="33" borderId="106" xfId="0" applyNumberFormat="1" applyFont="1" applyFill="1" applyBorder="1" applyAlignment="1" applyProtection="1">
      <alignment horizontal="left"/>
      <protection locked="0"/>
    </xf>
    <xf numFmtId="0" fontId="37" fillId="40" borderId="157" xfId="0" applyFont="1" applyFill="1" applyBorder="1" applyAlignment="1">
      <alignment horizontal="center" vertical="center" wrapText="1"/>
    </xf>
    <xf numFmtId="0" fontId="37" fillId="40" borderId="205" xfId="0" applyFont="1" applyFill="1" applyBorder="1" applyAlignment="1">
      <alignment horizontal="center" vertical="center" wrapText="1"/>
    </xf>
    <xf numFmtId="0" fontId="0" fillId="33" borderId="95" xfId="48" applyFont="1" applyBorder="1" applyProtection="1">
      <protection locked="0"/>
    </xf>
    <xf numFmtId="0" fontId="0" fillId="34" borderId="0" xfId="0" applyAlignment="1">
      <alignment horizontal="center"/>
    </xf>
    <xf numFmtId="0" fontId="25" fillId="40" borderId="0" xfId="0" applyFont="1" applyFill="1" applyBorder="1" applyAlignment="1">
      <alignment horizontal="left"/>
    </xf>
    <xf numFmtId="0" fontId="0" fillId="33" borderId="0" xfId="0" applyFill="1" applyBorder="1" applyAlignment="1" applyProtection="1">
      <alignment vertical="top" wrapText="1"/>
    </xf>
    <xf numFmtId="0" fontId="0" fillId="34" borderId="0" xfId="0" applyBorder="1" applyAlignment="1">
      <alignment horizontal="center"/>
    </xf>
    <xf numFmtId="0" fontId="25" fillId="34" borderId="0" xfId="0" applyFont="1" applyBorder="1" applyAlignment="1">
      <alignment horizontal="center"/>
    </xf>
    <xf numFmtId="0" fontId="0" fillId="33" borderId="0" xfId="0" applyFill="1" applyAlignment="1" applyProtection="1">
      <alignment horizontal="right" vertical="top" wrapText="1"/>
    </xf>
    <xf numFmtId="11" fontId="28" fillId="34" borderId="0" xfId="0" applyNumberFormat="1" applyFont="1" applyAlignment="1" applyProtection="1">
      <alignment wrapText="1"/>
    </xf>
    <xf numFmtId="169" fontId="0" fillId="41" borderId="33" xfId="0" applyNumberFormat="1" applyFont="1" applyFill="1" applyBorder="1" applyAlignment="1" applyProtection="1">
      <alignment horizontal="left"/>
      <protection locked="0"/>
    </xf>
    <xf numFmtId="169" fontId="0" fillId="41" borderId="13" xfId="0" applyNumberFormat="1" applyFont="1" applyFill="1" applyBorder="1" applyAlignment="1" applyProtection="1">
      <alignment horizontal="left" vertical="top"/>
      <protection locked="0"/>
    </xf>
    <xf numFmtId="169" fontId="0" fillId="41" borderId="95" xfId="0" applyNumberFormat="1" applyFont="1" applyFill="1" applyBorder="1" applyAlignment="1" applyProtection="1">
      <alignment horizontal="left"/>
      <protection locked="0"/>
    </xf>
    <xf numFmtId="169" fontId="0" fillId="41" borderId="96" xfId="0" applyNumberFormat="1" applyFont="1" applyFill="1" applyBorder="1" applyAlignment="1" applyProtection="1">
      <alignment horizontal="left" vertical="top"/>
      <protection locked="0"/>
    </xf>
    <xf numFmtId="169" fontId="0" fillId="41" borderId="97" xfId="0" applyNumberFormat="1" applyFont="1" applyFill="1" applyBorder="1" applyAlignment="1" applyProtection="1">
      <alignment horizontal="left"/>
      <protection locked="0"/>
    </xf>
    <xf numFmtId="169" fontId="0" fillId="41" borderId="203" xfId="0" applyNumberFormat="1" applyFont="1" applyFill="1" applyBorder="1" applyAlignment="1" applyProtection="1">
      <alignment horizontal="left" vertical="top"/>
      <protection locked="0"/>
    </xf>
    <xf numFmtId="169" fontId="0" fillId="41" borderId="113" xfId="0" applyNumberFormat="1" applyFont="1" applyFill="1" applyBorder="1" applyAlignment="1" applyProtection="1">
      <protection locked="0"/>
    </xf>
    <xf numFmtId="169" fontId="0" fillId="41" borderId="95" xfId="0" applyNumberFormat="1" applyFont="1" applyFill="1" applyBorder="1" applyAlignment="1" applyProtection="1">
      <protection locked="0"/>
    </xf>
    <xf numFmtId="169" fontId="0" fillId="41" borderId="97" xfId="0" applyNumberFormat="1" applyFont="1" applyFill="1" applyBorder="1" applyAlignment="1" applyProtection="1">
      <protection locked="0"/>
    </xf>
    <xf numFmtId="0" fontId="0" fillId="41" borderId="151" xfId="48" applyNumberFormat="1" applyFont="1" applyFill="1" applyBorder="1" applyAlignment="1" applyProtection="1">
      <alignment horizontal="center" vertical="center"/>
    </xf>
    <xf numFmtId="0" fontId="0" fillId="41" borderId="153" xfId="48" applyNumberFormat="1" applyFont="1" applyFill="1" applyBorder="1" applyAlignment="1" applyProtection="1">
      <alignment horizontal="center" vertical="center"/>
    </xf>
    <xf numFmtId="0" fontId="0" fillId="41" borderId="155" xfId="48" applyNumberFormat="1" applyFont="1" applyFill="1" applyBorder="1" applyAlignment="1" applyProtection="1">
      <alignment horizontal="center" vertical="center"/>
    </xf>
    <xf numFmtId="0" fontId="0" fillId="0" borderId="48" xfId="0" applyFont="1" applyFill="1" applyBorder="1" applyAlignment="1" applyProtection="1">
      <alignment horizontal="left" wrapText="1"/>
      <protection locked="0"/>
    </xf>
    <xf numFmtId="0" fontId="0" fillId="0" borderId="35" xfId="0" applyFont="1" applyFill="1" applyBorder="1" applyAlignment="1" applyProtection="1">
      <alignment horizontal="left" wrapText="1"/>
      <protection locked="0"/>
    </xf>
    <xf numFmtId="0" fontId="0" fillId="41" borderId="149" xfId="0" applyFont="1" applyFill="1" applyBorder="1" applyAlignment="1" applyProtection="1">
      <alignment horizontal="left"/>
      <protection locked="0"/>
    </xf>
    <xf numFmtId="0" fontId="0" fillId="41" borderId="125" xfId="0" applyFont="1" applyFill="1" applyBorder="1" applyAlignment="1" applyProtection="1">
      <alignment horizontal="left"/>
      <protection locked="0"/>
    </xf>
    <xf numFmtId="0" fontId="0" fillId="41" borderId="0" xfId="48" applyNumberFormat="1" applyFont="1" applyFill="1" applyBorder="1" applyAlignment="1" applyProtection="1">
      <alignment horizontal="center" vertical="center"/>
    </xf>
    <xf numFmtId="0" fontId="0" fillId="33" borderId="19" xfId="0" applyFill="1" applyBorder="1" applyAlignment="1" applyProtection="1">
      <alignment horizontal="center" vertical="top" wrapText="1"/>
    </xf>
    <xf numFmtId="0" fontId="0" fillId="34" borderId="0" xfId="0" applyProtection="1"/>
    <xf numFmtId="49" fontId="0" fillId="40" borderId="67" xfId="0" applyNumberFormat="1" applyFill="1" applyBorder="1" applyAlignment="1" applyProtection="1">
      <alignment horizontal="left"/>
      <protection locked="0"/>
    </xf>
    <xf numFmtId="0" fontId="0" fillId="40" borderId="67" xfId="0" applyFill="1" applyBorder="1" applyAlignment="1" applyProtection="1">
      <alignment horizontal="left"/>
      <protection locked="0"/>
    </xf>
    <xf numFmtId="49" fontId="0" fillId="40" borderId="68" xfId="0" applyNumberFormat="1" applyFill="1" applyBorder="1" applyAlignment="1" applyProtection="1">
      <alignment horizontal="left"/>
      <protection locked="0"/>
    </xf>
    <xf numFmtId="0" fontId="0" fillId="40" borderId="68" xfId="0" applyFill="1" applyBorder="1" applyAlignment="1" applyProtection="1">
      <alignment horizontal="left"/>
      <protection locked="0"/>
    </xf>
    <xf numFmtId="0" fontId="0" fillId="40" borderId="58" xfId="0" applyFill="1" applyBorder="1" applyAlignment="1" applyProtection="1">
      <alignment horizontal="left"/>
      <protection locked="0"/>
    </xf>
    <xf numFmtId="0" fontId="0" fillId="40" borderId="61" xfId="0" applyFill="1" applyBorder="1" applyAlignment="1" applyProtection="1">
      <alignment horizontal="left"/>
      <protection locked="0"/>
    </xf>
    <xf numFmtId="0" fontId="0" fillId="40" borderId="58" xfId="0" applyNumberFormat="1" applyFont="1" applyFill="1" applyBorder="1" applyAlignment="1" applyProtection="1">
      <alignment horizontal="left"/>
      <protection locked="0"/>
    </xf>
    <xf numFmtId="0" fontId="0" fillId="40" borderId="67" xfId="0" applyNumberFormat="1" applyFont="1" applyFill="1" applyBorder="1" applyAlignment="1" applyProtection="1">
      <alignment horizontal="left"/>
      <protection locked="0"/>
    </xf>
    <xf numFmtId="49" fontId="0" fillId="37" borderId="67" xfId="0" applyNumberFormat="1" applyFont="1" applyFill="1" applyBorder="1" applyAlignment="1" applyProtection="1">
      <alignment horizontal="left"/>
      <protection locked="0"/>
    </xf>
    <xf numFmtId="0" fontId="0" fillId="40" borderId="58" xfId="0" applyFill="1" applyBorder="1" applyAlignment="1" applyProtection="1">
      <alignment horizontal="center" wrapText="1"/>
      <protection locked="0"/>
    </xf>
    <xf numFmtId="0" fontId="0" fillId="40" borderId="67" xfId="0" applyFont="1" applyFill="1" applyBorder="1" applyAlignment="1" applyProtection="1">
      <alignment horizontal="center" wrapText="1"/>
      <protection locked="0"/>
    </xf>
    <xf numFmtId="0" fontId="0" fillId="37" borderId="67" xfId="0" applyNumberFormat="1" applyFont="1" applyFill="1" applyBorder="1" applyAlignment="1" applyProtection="1">
      <alignment horizontal="left"/>
      <protection locked="0"/>
    </xf>
    <xf numFmtId="0" fontId="0" fillId="40" borderId="169" xfId="0" applyNumberFormat="1" applyFont="1" applyFill="1" applyBorder="1" applyAlignment="1" applyProtection="1">
      <alignment horizontal="left"/>
      <protection locked="0"/>
    </xf>
    <xf numFmtId="0" fontId="0" fillId="40" borderId="68" xfId="0" applyNumberFormat="1" applyFont="1" applyFill="1" applyBorder="1" applyAlignment="1" applyProtection="1">
      <alignment horizontal="left"/>
      <protection locked="0"/>
    </xf>
    <xf numFmtId="49" fontId="0" fillId="37" borderId="68" xfId="0" applyNumberFormat="1" applyFont="1" applyFill="1" applyBorder="1" applyAlignment="1" applyProtection="1">
      <alignment horizontal="left"/>
      <protection locked="0"/>
    </xf>
    <xf numFmtId="0" fontId="0" fillId="37" borderId="68" xfId="0" applyNumberFormat="1" applyFont="1" applyFill="1" applyBorder="1" applyAlignment="1" applyProtection="1">
      <alignment horizontal="left"/>
      <protection locked="0"/>
    </xf>
    <xf numFmtId="0" fontId="0" fillId="40" borderId="61" xfId="0" applyFill="1" applyBorder="1" applyAlignment="1" applyProtection="1">
      <alignment horizontal="center" wrapText="1"/>
      <protection locked="0"/>
    </xf>
    <xf numFmtId="0" fontId="0" fillId="40" borderId="68" xfId="0" applyFont="1" applyFill="1" applyBorder="1" applyAlignment="1" applyProtection="1">
      <alignment horizontal="center" wrapText="1"/>
      <protection locked="0"/>
    </xf>
    <xf numFmtId="49" fontId="0" fillId="40" borderId="67" xfId="0" applyNumberFormat="1" applyFill="1" applyBorder="1" applyProtection="1">
      <protection locked="0"/>
    </xf>
    <xf numFmtId="0" fontId="0" fillId="40" borderId="58" xfId="0" applyFill="1" applyBorder="1" applyProtection="1">
      <protection locked="0"/>
    </xf>
    <xf numFmtId="49" fontId="0" fillId="40" borderId="68" xfId="0" applyNumberFormat="1" applyFill="1" applyBorder="1" applyProtection="1">
      <protection locked="0"/>
    </xf>
    <xf numFmtId="0" fontId="0" fillId="40" borderId="61" xfId="0" applyFill="1" applyBorder="1" applyProtection="1">
      <protection locked="0"/>
    </xf>
    <xf numFmtId="0" fontId="0" fillId="40" borderId="58" xfId="0" applyNumberFormat="1" applyFont="1" applyFill="1" applyBorder="1" applyAlignment="1" applyProtection="1">
      <alignment horizontal="left" vertical="top"/>
      <protection locked="0"/>
    </xf>
    <xf numFmtId="49" fontId="0" fillId="40" borderId="67" xfId="0" applyNumberFormat="1" applyFont="1" applyFill="1" applyBorder="1" applyAlignment="1" applyProtection="1">
      <alignment horizontal="left"/>
      <protection locked="0"/>
    </xf>
    <xf numFmtId="0" fontId="0" fillId="37" borderId="67" xfId="0" applyNumberFormat="1" applyFont="1" applyFill="1" applyBorder="1" applyAlignment="1" applyProtection="1">
      <protection locked="0"/>
    </xf>
    <xf numFmtId="0" fontId="0" fillId="40" borderId="67" xfId="0" applyNumberFormat="1" applyFont="1" applyFill="1" applyBorder="1" applyAlignment="1" applyProtection="1">
      <alignment vertical="top"/>
      <protection locked="0"/>
    </xf>
    <xf numFmtId="0" fontId="0" fillId="40" borderId="68" xfId="0" applyNumberFormat="1" applyFont="1" applyFill="1" applyBorder="1" applyAlignment="1" applyProtection="1">
      <alignment vertical="top"/>
      <protection locked="0"/>
    </xf>
    <xf numFmtId="0" fontId="0" fillId="40" borderId="61" xfId="0" applyNumberFormat="1" applyFont="1" applyFill="1" applyBorder="1" applyAlignment="1" applyProtection="1">
      <alignment horizontal="left"/>
      <protection locked="0"/>
    </xf>
    <xf numFmtId="49" fontId="0" fillId="40" borderId="68" xfId="0" applyNumberFormat="1" applyFont="1" applyFill="1" applyBorder="1" applyAlignment="1" applyProtection="1">
      <alignment horizontal="left"/>
      <protection locked="0"/>
    </xf>
    <xf numFmtId="0" fontId="0" fillId="37" borderId="68" xfId="0" applyNumberFormat="1" applyFont="1" applyFill="1" applyBorder="1" applyAlignment="1" applyProtection="1">
      <protection locked="0"/>
    </xf>
    <xf numFmtId="0" fontId="0" fillId="34" borderId="0" xfId="0" applyAlignment="1" applyProtection="1">
      <alignment vertical="top" wrapText="1"/>
    </xf>
    <xf numFmtId="0" fontId="0" fillId="33" borderId="97" xfId="48" applyFont="1" applyBorder="1" applyProtection="1">
      <protection locked="0"/>
    </xf>
    <xf numFmtId="0" fontId="0" fillId="41" borderId="95" xfId="0" applyNumberFormat="1" applyFont="1" applyFill="1" applyBorder="1" applyAlignment="1" applyProtection="1">
      <alignment horizontal="center"/>
      <protection locked="0"/>
    </xf>
    <xf numFmtId="0" fontId="37" fillId="40" borderId="204" xfId="0" applyFont="1" applyFill="1" applyBorder="1" applyAlignment="1">
      <alignment horizontal="center" vertical="center" wrapText="1"/>
    </xf>
    <xf numFmtId="49" fontId="0" fillId="41" borderId="97" xfId="0" applyNumberFormat="1" applyFont="1" applyFill="1" applyBorder="1" applyAlignment="1" applyProtection="1">
      <alignment vertical="top"/>
      <protection locked="0"/>
    </xf>
    <xf numFmtId="49" fontId="0" fillId="41" borderId="39" xfId="0" applyNumberFormat="1" applyFont="1" applyFill="1" applyBorder="1" applyAlignment="1" applyProtection="1">
      <alignment vertical="top"/>
      <protection locked="0"/>
    </xf>
    <xf numFmtId="49" fontId="0" fillId="41" borderId="95" xfId="0" applyNumberFormat="1" applyFont="1" applyFill="1" applyBorder="1" applyAlignment="1" applyProtection="1">
      <alignment wrapText="1"/>
      <protection locked="0"/>
    </xf>
    <xf numFmtId="0" fontId="0" fillId="41" borderId="113" xfId="0" applyNumberFormat="1" applyFont="1" applyFill="1" applyBorder="1" applyAlignment="1" applyProtection="1">
      <alignment horizontal="center"/>
      <protection locked="0"/>
    </xf>
    <xf numFmtId="0" fontId="0" fillId="41" borderId="97" xfId="0" applyNumberFormat="1" applyFont="1" applyFill="1" applyBorder="1" applyAlignment="1" applyProtection="1">
      <alignment horizontal="center"/>
      <protection locked="0"/>
    </xf>
    <xf numFmtId="49" fontId="22" fillId="33" borderId="73" xfId="48" applyNumberFormat="1" applyBorder="1" applyAlignment="1" applyProtection="1">
      <protection locked="0"/>
    </xf>
    <xf numFmtId="49" fontId="0" fillId="33" borderId="73" xfId="48" applyNumberFormat="1" applyFont="1" applyBorder="1" applyAlignment="1" applyProtection="1">
      <protection locked="0"/>
    </xf>
    <xf numFmtId="0" fontId="37" fillId="40" borderId="72" xfId="0" applyFont="1" applyFill="1" applyBorder="1" applyAlignment="1">
      <alignment horizontal="center" vertical="center" wrapText="1"/>
    </xf>
    <xf numFmtId="49" fontId="0" fillId="41" borderId="73" xfId="0" applyNumberFormat="1" applyFont="1" applyFill="1" applyBorder="1" applyAlignment="1" applyProtection="1">
      <alignment wrapText="1"/>
      <protection locked="0"/>
    </xf>
    <xf numFmtId="49" fontId="0" fillId="41" borderId="39" xfId="0" applyNumberFormat="1" applyFont="1" applyFill="1" applyBorder="1" applyAlignment="1" applyProtection="1">
      <alignment horizontal="center" vertical="top"/>
      <protection locked="0"/>
    </xf>
    <xf numFmtId="0" fontId="0" fillId="34" borderId="0" xfId="0" applyProtection="1"/>
    <xf numFmtId="0" fontId="0" fillId="34" borderId="0" xfId="0" applyAlignment="1" applyProtection="1">
      <alignment horizontal="center" wrapText="1"/>
    </xf>
    <xf numFmtId="0" fontId="0" fillId="34" borderId="0" xfId="0" applyAlignment="1" applyProtection="1">
      <alignment wrapText="1"/>
    </xf>
    <xf numFmtId="2" fontId="40" fillId="38" borderId="0" xfId="49" applyFont="1" applyFill="1" applyBorder="1" applyAlignment="1" applyProtection="1">
      <alignment horizontal="left" vertical="center"/>
    </xf>
    <xf numFmtId="2" fontId="34" fillId="0" borderId="220" xfId="0" applyNumberFormat="1" applyFont="1" applyFill="1" applyBorder="1" applyAlignment="1" applyProtection="1">
      <alignment horizontal="center"/>
      <protection locked="0"/>
    </xf>
    <xf numFmtId="2" fontId="0" fillId="0" borderId="220" xfId="0" applyNumberFormat="1" applyFont="1" applyFill="1" applyBorder="1" applyAlignment="1" applyProtection="1">
      <alignment horizontal="center"/>
      <protection locked="0"/>
    </xf>
    <xf numFmtId="0" fontId="0" fillId="41" borderId="223" xfId="0" applyFont="1" applyFill="1" applyBorder="1" applyAlignment="1" applyProtection="1">
      <alignment horizontal="left" wrapText="1"/>
      <protection locked="0"/>
    </xf>
    <xf numFmtId="2" fontId="34" fillId="0" borderId="227" xfId="0" applyNumberFormat="1" applyFont="1" applyFill="1" applyBorder="1" applyAlignment="1" applyProtection="1">
      <alignment horizontal="center"/>
      <protection locked="0"/>
    </xf>
    <xf numFmtId="2" fontId="0" fillId="0" borderId="227" xfId="0" applyNumberFormat="1" applyFont="1" applyFill="1" applyBorder="1" applyAlignment="1" applyProtection="1">
      <alignment horizontal="center"/>
      <protection locked="0"/>
    </xf>
    <xf numFmtId="0" fontId="0" fillId="41" borderId="226" xfId="0" applyFont="1" applyFill="1" applyBorder="1" applyAlignment="1" applyProtection="1">
      <alignment horizontal="left" wrapText="1"/>
      <protection locked="0"/>
    </xf>
    <xf numFmtId="2" fontId="34" fillId="34" borderId="14" xfId="0" applyNumberFormat="1" applyFont="1" applyFill="1" applyBorder="1" applyAlignment="1" applyProtection="1">
      <alignment horizontal="center"/>
      <protection locked="0"/>
    </xf>
    <xf numFmtId="2" fontId="34" fillId="34" borderId="12" xfId="0" applyNumberFormat="1" applyFont="1" applyFill="1" applyBorder="1" applyAlignment="1" applyProtection="1">
      <alignment horizontal="center"/>
      <protection locked="0"/>
    </xf>
    <xf numFmtId="0" fontId="0" fillId="49" borderId="50" xfId="0" applyFont="1" applyFill="1" applyBorder="1" applyAlignment="1" applyProtection="1">
      <alignment horizontal="left" wrapText="1"/>
      <protection locked="0"/>
    </xf>
    <xf numFmtId="2" fontId="34" fillId="34" borderId="219" xfId="0" applyNumberFormat="1" applyFont="1" applyFill="1" applyBorder="1" applyAlignment="1" applyProtection="1">
      <alignment horizontal="center"/>
      <protection locked="0"/>
    </xf>
    <xf numFmtId="2" fontId="0" fillId="34" borderId="219" xfId="0" applyNumberFormat="1" applyFont="1" applyFill="1" applyBorder="1" applyAlignment="1" applyProtection="1">
      <alignment horizontal="center"/>
      <protection locked="0"/>
    </xf>
    <xf numFmtId="0" fontId="0" fillId="49" borderId="222" xfId="0" applyFont="1" applyFill="1" applyBorder="1" applyAlignment="1" applyProtection="1">
      <alignment horizontal="left" wrapText="1"/>
      <protection locked="0"/>
    </xf>
    <xf numFmtId="2" fontId="34" fillId="34" borderId="220" xfId="0" applyNumberFormat="1" applyFont="1" applyFill="1" applyBorder="1" applyAlignment="1" applyProtection="1">
      <alignment horizontal="center"/>
      <protection locked="0"/>
    </xf>
    <xf numFmtId="2" fontId="0" fillId="34" borderId="220" xfId="0" applyNumberFormat="1" applyFont="1" applyFill="1" applyBorder="1" applyAlignment="1" applyProtection="1">
      <alignment horizontal="center"/>
      <protection locked="0"/>
    </xf>
    <xf numFmtId="0" fontId="0" fillId="49" borderId="223" xfId="0" applyFont="1" applyFill="1" applyBorder="1" applyAlignment="1" applyProtection="1">
      <alignment horizontal="left" wrapText="1"/>
      <protection locked="0"/>
    </xf>
    <xf numFmtId="0" fontId="0" fillId="37" borderId="36" xfId="0" applyNumberFormat="1" applyFont="1" applyFill="1" applyBorder="1" applyAlignment="1" applyProtection="1">
      <alignment horizontal="center" vertical="center"/>
    </xf>
    <xf numFmtId="0" fontId="0" fillId="37" borderId="153" xfId="0" applyNumberFormat="1" applyFont="1" applyFill="1" applyBorder="1" applyAlignment="1" applyProtection="1">
      <alignment horizontal="center" vertical="center"/>
    </xf>
    <xf numFmtId="0" fontId="0" fillId="37" borderId="34" xfId="0" applyNumberFormat="1" applyFont="1" applyFill="1" applyBorder="1" applyAlignment="1" applyProtection="1">
      <alignment horizontal="center" vertical="center"/>
    </xf>
    <xf numFmtId="0" fontId="0" fillId="37" borderId="155" xfId="0" applyNumberFormat="1" applyFont="1" applyFill="1" applyBorder="1" applyAlignment="1" applyProtection="1">
      <alignment horizontal="center" vertical="center"/>
    </xf>
    <xf numFmtId="2" fontId="34" fillId="34" borderId="221" xfId="0" applyNumberFormat="1" applyFont="1" applyFill="1" applyBorder="1" applyAlignment="1" applyProtection="1">
      <alignment horizontal="center"/>
      <protection locked="0"/>
    </xf>
    <xf numFmtId="2" fontId="0" fillId="34" borderId="221" xfId="0" applyNumberFormat="1" applyFont="1" applyFill="1" applyBorder="1" applyAlignment="1" applyProtection="1">
      <alignment horizontal="center"/>
      <protection locked="0"/>
    </xf>
    <xf numFmtId="0" fontId="0" fillId="49" borderId="224" xfId="0" applyFont="1" applyFill="1" applyBorder="1" applyAlignment="1" applyProtection="1">
      <alignment horizontal="left" wrapText="1"/>
      <protection locked="0"/>
    </xf>
    <xf numFmtId="168" fontId="0" fillId="0" borderId="237" xfId="0" applyNumberFormat="1" applyFont="1" applyFill="1" applyBorder="1" applyAlignment="1" applyProtection="1">
      <alignment horizontal="left"/>
      <protection locked="0"/>
    </xf>
    <xf numFmtId="168" fontId="0" fillId="34" borderId="237" xfId="0" applyNumberFormat="1" applyFont="1" applyFill="1" applyBorder="1" applyAlignment="1" applyProtection="1">
      <alignment horizontal="left"/>
      <protection locked="0"/>
    </xf>
    <xf numFmtId="168" fontId="0" fillId="34" borderId="238" xfId="0" applyNumberFormat="1" applyFont="1" applyFill="1" applyBorder="1" applyAlignment="1" applyProtection="1">
      <alignment horizontal="left"/>
      <protection locked="0"/>
    </xf>
    <xf numFmtId="0" fontId="25" fillId="46" borderId="246" xfId="0" applyNumberFormat="1" applyFont="1" applyFill="1" applyBorder="1" applyAlignment="1">
      <alignment vertical="center"/>
    </xf>
    <xf numFmtId="0" fontId="25" fillId="40" borderId="249" xfId="0" applyNumberFormat="1" applyFont="1" applyFill="1" applyBorder="1" applyAlignment="1">
      <alignment vertical="center"/>
    </xf>
    <xf numFmtId="0" fontId="0" fillId="37" borderId="19" xfId="0" applyNumberFormat="1" applyFont="1" applyFill="1" applyBorder="1" applyAlignment="1" applyProtection="1">
      <alignment horizontal="center" vertical="center"/>
    </xf>
    <xf numFmtId="0" fontId="0" fillId="37" borderId="32" xfId="0" applyNumberFormat="1" applyFont="1" applyFill="1" applyBorder="1" applyAlignment="1" applyProtection="1">
      <alignment horizontal="center" vertical="center"/>
    </xf>
    <xf numFmtId="2" fontId="34" fillId="34" borderId="29" xfId="0" applyNumberFormat="1" applyFont="1" applyFill="1" applyBorder="1" applyAlignment="1" applyProtection="1">
      <alignment horizontal="center"/>
      <protection locked="0"/>
    </xf>
    <xf numFmtId="2" fontId="34" fillId="0" borderId="29" xfId="0" applyNumberFormat="1" applyFont="1" applyFill="1" applyBorder="1" applyAlignment="1" applyProtection="1">
      <alignment horizontal="center"/>
      <protection locked="0"/>
    </xf>
    <xf numFmtId="168" fontId="0" fillId="34" borderId="257" xfId="0" applyNumberFormat="1" applyFont="1" applyFill="1" applyBorder="1" applyAlignment="1" applyProtection="1">
      <alignment horizontal="left"/>
      <protection locked="0"/>
    </xf>
    <xf numFmtId="168" fontId="0" fillId="34" borderId="226" xfId="0" applyNumberFormat="1" applyFont="1" applyFill="1" applyBorder="1" applyAlignment="1" applyProtection="1">
      <alignment horizontal="left"/>
      <protection locked="0"/>
    </xf>
    <xf numFmtId="0" fontId="0" fillId="33" borderId="35" xfId="0" applyFont="1" applyFill="1" applyBorder="1" applyAlignment="1" applyProtection="1">
      <alignment horizontal="left"/>
    </xf>
    <xf numFmtId="0" fontId="37" fillId="40" borderId="52" xfId="0" applyFont="1" applyFill="1" applyBorder="1" applyAlignment="1" applyProtection="1">
      <alignment vertical="center" wrapText="1"/>
    </xf>
    <xf numFmtId="0" fontId="37" fillId="40" borderId="230" xfId="0" applyFont="1" applyFill="1" applyBorder="1" applyAlignment="1" applyProtection="1">
      <alignment vertical="center" wrapText="1"/>
    </xf>
    <xf numFmtId="0" fontId="37" fillId="40" borderId="18" xfId="0" applyFont="1" applyFill="1" applyBorder="1" applyAlignment="1" applyProtection="1">
      <alignment horizontal="center" vertical="center" wrapText="1"/>
    </xf>
    <xf numFmtId="168" fontId="0" fillId="0" borderId="223" xfId="0" applyNumberFormat="1" applyFont="1" applyFill="1" applyBorder="1" applyAlignment="1" applyProtection="1">
      <alignment horizontal="left"/>
      <protection locked="0"/>
    </xf>
    <xf numFmtId="2" fontId="0" fillId="34" borderId="29" xfId="0" applyNumberFormat="1" applyFont="1" applyFill="1" applyBorder="1" applyAlignment="1" applyProtection="1">
      <alignment horizontal="center"/>
      <protection locked="0"/>
    </xf>
    <xf numFmtId="168" fontId="0" fillId="34" borderId="15" xfId="0" applyNumberFormat="1" applyFont="1" applyFill="1" applyBorder="1" applyAlignment="1" applyProtection="1">
      <alignment horizontal="left"/>
      <protection locked="0"/>
    </xf>
    <xf numFmtId="168" fontId="0" fillId="34" borderId="222" xfId="0" applyNumberFormat="1" applyFont="1" applyFill="1" applyBorder="1" applyAlignment="1" applyProtection="1">
      <alignment horizontal="left"/>
      <protection locked="0"/>
    </xf>
    <xf numFmtId="168" fontId="0" fillId="34" borderId="223" xfId="0" applyNumberFormat="1" applyFont="1" applyFill="1" applyBorder="1" applyAlignment="1" applyProtection="1">
      <alignment horizontal="left"/>
      <protection locked="0"/>
    </xf>
    <xf numFmtId="168" fontId="0" fillId="0" borderId="238" xfId="0" applyNumberFormat="1" applyFont="1" applyFill="1" applyBorder="1" applyAlignment="1" applyProtection="1">
      <alignment horizontal="left"/>
      <protection locked="0"/>
    </xf>
    <xf numFmtId="168" fontId="0" fillId="34" borderId="224" xfId="0" applyNumberFormat="1" applyFont="1" applyFill="1" applyBorder="1" applyAlignment="1" applyProtection="1">
      <alignment horizontal="left"/>
      <protection locked="0"/>
    </xf>
    <xf numFmtId="0" fontId="37" fillId="40" borderId="118" xfId="0" applyFont="1" applyFill="1" applyBorder="1" applyAlignment="1">
      <alignment horizontal="center" vertical="center" wrapText="1"/>
    </xf>
    <xf numFmtId="168" fontId="0" fillId="0" borderId="226" xfId="0" applyNumberFormat="1" applyFont="1" applyFill="1" applyBorder="1" applyAlignment="1" applyProtection="1">
      <alignment horizontal="left"/>
      <protection locked="0"/>
    </xf>
    <xf numFmtId="0" fontId="0" fillId="49" borderId="158" xfId="0" applyNumberFormat="1" applyFont="1" applyFill="1" applyBorder="1" applyAlignment="1" applyProtection="1">
      <alignment horizontal="left" wrapText="1"/>
      <protection locked="0"/>
    </xf>
    <xf numFmtId="0" fontId="0" fillId="41" borderId="158" xfId="0" applyNumberFormat="1" applyFont="1" applyFill="1" applyBorder="1" applyAlignment="1" applyProtection="1">
      <alignment horizontal="left" wrapText="1"/>
      <protection locked="0"/>
    </xf>
    <xf numFmtId="0" fontId="37" fillId="40" borderId="38" xfId="0" applyFont="1" applyFill="1" applyBorder="1" applyAlignment="1">
      <alignment horizontal="center" vertical="center" wrapText="1"/>
    </xf>
    <xf numFmtId="0" fontId="37" fillId="40" borderId="0" xfId="0" applyFont="1" applyFill="1" applyBorder="1" applyAlignment="1">
      <alignment horizontal="center" vertical="center" wrapText="1"/>
    </xf>
    <xf numFmtId="0" fontId="37" fillId="40" borderId="258" xfId="0" applyFont="1" applyFill="1" applyBorder="1" applyAlignment="1">
      <alignment horizontal="center" vertical="center" wrapText="1"/>
    </xf>
    <xf numFmtId="0" fontId="37" fillId="40" borderId="123" xfId="0" applyFont="1" applyFill="1" applyBorder="1" applyAlignment="1">
      <alignment horizontal="center" vertical="center" wrapText="1"/>
    </xf>
    <xf numFmtId="2" fontId="34" fillId="34" borderId="39" xfId="0" applyNumberFormat="1" applyFont="1" applyFill="1" applyBorder="1" applyAlignment="1" applyProtection="1">
      <alignment horizontal="center"/>
      <protection locked="0"/>
    </xf>
    <xf numFmtId="0" fontId="0" fillId="34" borderId="0" xfId="0" applyProtection="1"/>
    <xf numFmtId="2" fontId="34" fillId="0" borderId="73" xfId="0" applyNumberFormat="1" applyFont="1" applyFill="1" applyBorder="1" applyAlignment="1" applyProtection="1">
      <alignment horizontal="center"/>
      <protection locked="0"/>
    </xf>
    <xf numFmtId="2" fontId="34" fillId="34" borderId="73" xfId="0" applyNumberFormat="1" applyFont="1" applyFill="1" applyBorder="1" applyAlignment="1" applyProtection="1">
      <alignment horizontal="center"/>
      <protection locked="0"/>
    </xf>
    <xf numFmtId="0" fontId="0" fillId="41" borderId="237" xfId="0" applyFont="1" applyFill="1" applyBorder="1" applyAlignment="1" applyProtection="1">
      <alignment horizontal="left" wrapText="1"/>
      <protection locked="0"/>
    </xf>
    <xf numFmtId="0" fontId="0" fillId="49" borderId="237" xfId="0" applyFont="1" applyFill="1" applyBorder="1" applyAlignment="1" applyProtection="1">
      <alignment horizontal="left" wrapText="1"/>
      <protection locked="0"/>
    </xf>
    <xf numFmtId="0" fontId="0" fillId="49" borderId="238" xfId="0" applyFont="1" applyFill="1" applyBorder="1" applyAlignment="1" applyProtection="1">
      <alignment horizontal="left" wrapText="1"/>
      <protection locked="0"/>
    </xf>
    <xf numFmtId="0" fontId="28" fillId="34" borderId="0" xfId="0" applyFont="1" applyAlignment="1" applyProtection="1">
      <alignment vertical="top" wrapText="1"/>
    </xf>
    <xf numFmtId="0" fontId="0" fillId="34" borderId="0" xfId="0" quotePrefix="1"/>
    <xf numFmtId="0" fontId="35" fillId="34" borderId="19" xfId="52" applyNumberFormat="1" applyBorder="1" applyAlignment="1">
      <alignment vertical="top" wrapText="1"/>
    </xf>
    <xf numFmtId="0" fontId="37" fillId="40" borderId="17" xfId="0" applyFont="1" applyFill="1" applyBorder="1" applyAlignment="1" applyProtection="1">
      <alignment vertical="center" wrapText="1"/>
    </xf>
    <xf numFmtId="14" fontId="0" fillId="37" borderId="250" xfId="0" applyNumberFormat="1" applyFont="1" applyFill="1" applyBorder="1" applyAlignment="1" applyProtection="1">
      <alignment horizontal="left"/>
      <protection locked="0"/>
    </xf>
    <xf numFmtId="0" fontId="35" fillId="34" borderId="0" xfId="52" applyNumberFormat="1" applyBorder="1" applyAlignment="1">
      <alignment horizontal="left" vertical="top" wrapText="1"/>
    </xf>
    <xf numFmtId="0" fontId="0" fillId="41" borderId="158" xfId="0" applyNumberFormat="1" applyFont="1" applyFill="1" applyBorder="1" applyAlignment="1" applyProtection="1">
      <alignment horizontal="left" wrapText="1"/>
      <protection locked="0"/>
    </xf>
    <xf numFmtId="0" fontId="0" fillId="34" borderId="0" xfId="0" applyProtection="1"/>
    <xf numFmtId="0" fontId="37" fillId="40" borderId="255" xfId="0" applyFont="1" applyFill="1" applyBorder="1" applyAlignment="1" applyProtection="1">
      <alignment vertical="center" wrapText="1"/>
    </xf>
    <xf numFmtId="0" fontId="37" fillId="40" borderId="254" xfId="0" applyFont="1" applyFill="1" applyBorder="1" applyAlignment="1" applyProtection="1">
      <alignment vertical="center"/>
    </xf>
    <xf numFmtId="0" fontId="37" fillId="40" borderId="17" xfId="0" applyFont="1" applyFill="1" applyBorder="1" applyAlignment="1" applyProtection="1">
      <alignment vertical="center"/>
    </xf>
    <xf numFmtId="0" fontId="0" fillId="37" borderId="0" xfId="0" applyFill="1" applyBorder="1" applyProtection="1"/>
    <xf numFmtId="49" fontId="31" fillId="33" borderId="247" xfId="53" applyNumberFormat="1" applyFill="1" applyBorder="1" applyProtection="1">
      <protection locked="0"/>
    </xf>
    <xf numFmtId="0" fontId="35" fillId="34" borderId="19" xfId="52" applyNumberFormat="1" applyBorder="1" applyAlignment="1">
      <alignment horizontal="left" vertical="top" wrapText="1"/>
    </xf>
    <xf numFmtId="0" fontId="28" fillId="34" borderId="19" xfId="0" applyFont="1" applyBorder="1" applyAlignment="1" applyProtection="1">
      <alignment vertical="top" wrapText="1"/>
    </xf>
    <xf numFmtId="169" fontId="0" fillId="41" borderId="35" xfId="0" applyNumberFormat="1" applyFont="1" applyFill="1" applyBorder="1" applyAlignment="1" applyProtection="1">
      <alignment horizontal="left" wrapText="1"/>
      <protection locked="0"/>
    </xf>
    <xf numFmtId="0" fontId="31" fillId="34" borderId="0" xfId="53" applyFill="1"/>
    <xf numFmtId="2" fontId="41" fillId="38" borderId="264" xfId="49" applyFont="1" applyFill="1" applyBorder="1" applyAlignment="1" applyProtection="1">
      <alignment horizontal="center" vertical="center"/>
    </xf>
    <xf numFmtId="0" fontId="0" fillId="34" borderId="0" xfId="0" applyProtection="1"/>
    <xf numFmtId="0" fontId="28" fillId="34" borderId="0" xfId="0" applyFont="1" applyBorder="1" applyAlignment="1">
      <alignment vertical="center"/>
    </xf>
    <xf numFmtId="0" fontId="0" fillId="34" borderId="0" xfId="0" applyBorder="1" applyAlignment="1">
      <alignment vertical="center" wrapText="1"/>
    </xf>
    <xf numFmtId="0" fontId="34" fillId="50" borderId="20" xfId="68" applyBorder="1"/>
    <xf numFmtId="0" fontId="34" fillId="50" borderId="0" xfId="68"/>
    <xf numFmtId="0" fontId="34" fillId="50" borderId="0" xfId="68" applyProtection="1">
      <protection locked="0"/>
    </xf>
    <xf numFmtId="2" fontId="0" fillId="34" borderId="39" xfId="0" applyNumberFormat="1" applyFont="1" applyFill="1" applyBorder="1" applyAlignment="1" applyProtection="1">
      <alignment horizontal="center"/>
      <protection locked="0"/>
    </xf>
    <xf numFmtId="168" fontId="0" fillId="34" borderId="238" xfId="0" applyNumberFormat="1" applyFont="1" applyFill="1" applyBorder="1" applyAlignment="1" applyProtection="1">
      <alignment horizontal="left"/>
      <protection locked="0"/>
    </xf>
    <xf numFmtId="0" fontId="0" fillId="49" borderId="159" xfId="0" applyNumberFormat="1" applyFont="1" applyFill="1" applyBorder="1" applyAlignment="1" applyProtection="1">
      <alignment horizontal="left" wrapText="1"/>
      <protection locked="0"/>
    </xf>
    <xf numFmtId="0" fontId="34" fillId="50" borderId="265" xfId="68" applyBorder="1"/>
    <xf numFmtId="0" fontId="0" fillId="0" borderId="135" xfId="0" applyFont="1" applyFill="1" applyBorder="1" applyAlignment="1" applyProtection="1">
      <alignment horizontal="left" wrapText="1"/>
      <protection locked="0"/>
    </xf>
    <xf numFmtId="22" fontId="0" fillId="41" borderId="135" xfId="0" applyNumberFormat="1" applyFont="1" applyFill="1" applyBorder="1" applyAlignment="1" applyProtection="1">
      <alignment horizontal="left"/>
      <protection locked="0"/>
    </xf>
    <xf numFmtId="0" fontId="34" fillId="50" borderId="268" xfId="68" applyBorder="1"/>
    <xf numFmtId="0" fontId="34" fillId="50" borderId="54" xfId="68" applyBorder="1" applyProtection="1">
      <protection locked="0"/>
    </xf>
    <xf numFmtId="0" fontId="34" fillId="50" borderId="51" xfId="68" applyBorder="1" applyProtection="1">
      <protection locked="0"/>
    </xf>
    <xf numFmtId="0" fontId="0" fillId="0" borderId="31" xfId="0" applyNumberFormat="1" applyFont="1" applyFill="1" applyBorder="1" applyAlignment="1" applyProtection="1">
      <alignment horizontal="left"/>
      <protection locked="0"/>
    </xf>
    <xf numFmtId="49" fontId="0" fillId="41" borderId="248" xfId="0" applyNumberFormat="1" applyFont="1" applyFill="1" applyBorder="1" applyAlignment="1" applyProtection="1">
      <alignment horizontal="left" vertical="center"/>
      <protection locked="0"/>
    </xf>
    <xf numFmtId="0" fontId="0" fillId="33" borderId="0" xfId="0" applyFill="1" applyAlignment="1" applyProtection="1">
      <alignment horizontal="left" vertical="top" wrapText="1"/>
    </xf>
    <xf numFmtId="2" fontId="38" fillId="38" borderId="0" xfId="47" applyFont="1" applyAlignment="1">
      <alignment horizontal="left" vertical="center"/>
    </xf>
    <xf numFmtId="0" fontId="35" fillId="33" borderId="0" xfId="52" applyNumberFormat="1" applyFill="1" applyBorder="1" applyAlignment="1">
      <alignment horizontal="left" vertical="top" wrapText="1"/>
    </xf>
    <xf numFmtId="0" fontId="0" fillId="34" borderId="0" xfId="0" applyAlignment="1">
      <alignment horizontal="center"/>
    </xf>
    <xf numFmtId="0" fontId="31" fillId="33" borderId="0" xfId="53" applyFill="1" applyAlignment="1" applyProtection="1">
      <alignment horizontal="center"/>
      <protection locked="0"/>
    </xf>
    <xf numFmtId="2" fontId="38" fillId="42" borderId="16" xfId="50" applyBorder="1" applyAlignment="1">
      <alignment horizontal="center" vertical="center"/>
    </xf>
    <xf numFmtId="0" fontId="25" fillId="37" borderId="0" xfId="48" applyNumberFormat="1" applyFont="1" applyFill="1" applyBorder="1" applyAlignment="1">
      <alignment horizontal="left" vertical="center"/>
    </xf>
    <xf numFmtId="0" fontId="25" fillId="37" borderId="20" xfId="48" applyNumberFormat="1" applyFont="1" applyFill="1" applyBorder="1" applyAlignment="1">
      <alignment horizontal="left" vertical="center"/>
    </xf>
    <xf numFmtId="0" fontId="25" fillId="33" borderId="0" xfId="0" applyFont="1" applyFill="1" applyBorder="1" applyAlignment="1" applyProtection="1">
      <alignment horizontal="left"/>
      <protection locked="0"/>
    </xf>
    <xf numFmtId="2" fontId="38" fillId="42" borderId="242" xfId="50" applyBorder="1" applyAlignment="1">
      <alignment horizontal="center" vertical="center"/>
    </xf>
    <xf numFmtId="2" fontId="38" fillId="42" borderId="243" xfId="50" applyBorder="1" applyAlignment="1">
      <alignment horizontal="center" vertical="center"/>
    </xf>
    <xf numFmtId="2" fontId="38" fillId="42" borderId="244" xfId="50" applyBorder="1" applyAlignment="1">
      <alignment horizontal="center" vertical="center"/>
    </xf>
    <xf numFmtId="2" fontId="38" fillId="42" borderId="245" xfId="50" applyBorder="1" applyAlignment="1">
      <alignment horizontal="center" vertical="center"/>
    </xf>
    <xf numFmtId="0" fontId="0" fillId="48" borderId="192" xfId="0" applyFill="1" applyBorder="1" applyAlignment="1" applyProtection="1">
      <alignment horizontal="center" vertical="center" wrapText="1"/>
    </xf>
    <xf numFmtId="0" fontId="0" fillId="48" borderId="260" xfId="0" applyFill="1" applyBorder="1" applyAlignment="1" applyProtection="1">
      <alignment horizontal="center" vertical="center" wrapText="1"/>
    </xf>
    <xf numFmtId="0" fontId="0" fillId="48" borderId="193" xfId="0" applyFill="1" applyBorder="1" applyAlignment="1" applyProtection="1">
      <alignment horizontal="center" vertical="center" wrapText="1"/>
    </xf>
    <xf numFmtId="0" fontId="0" fillId="48" borderId="20" xfId="0" applyFill="1" applyBorder="1" applyAlignment="1" applyProtection="1">
      <alignment horizontal="center" vertical="center" wrapText="1"/>
    </xf>
    <xf numFmtId="0" fontId="0" fillId="48" borderId="194" xfId="0" applyFill="1" applyBorder="1" applyAlignment="1" applyProtection="1">
      <alignment horizontal="center" vertical="center" wrapText="1"/>
    </xf>
    <xf numFmtId="0" fontId="0" fillId="48" borderId="261" xfId="0" applyFill="1" applyBorder="1" applyAlignment="1" applyProtection="1">
      <alignment horizontal="center" vertical="center" wrapText="1"/>
    </xf>
    <xf numFmtId="0" fontId="0" fillId="33" borderId="19" xfId="0" applyFont="1" applyFill="1" applyBorder="1" applyAlignment="1" applyProtection="1">
      <alignment horizontal="left" vertical="top" wrapText="1"/>
    </xf>
    <xf numFmtId="0" fontId="0" fillId="33" borderId="0" xfId="0" applyFont="1" applyFill="1" applyBorder="1" applyAlignment="1" applyProtection="1">
      <alignment horizontal="left" vertical="top" wrapText="1"/>
    </xf>
    <xf numFmtId="0" fontId="0" fillId="33" borderId="32" xfId="0" applyFont="1" applyFill="1" applyBorder="1" applyAlignment="1" applyProtection="1">
      <alignment horizontal="left" vertical="top" wrapText="1"/>
    </xf>
    <xf numFmtId="0" fontId="0" fillId="33" borderId="54" xfId="0" applyFont="1" applyFill="1" applyBorder="1" applyAlignment="1" applyProtection="1">
      <alignment horizontal="left" vertical="top" wrapText="1"/>
    </xf>
    <xf numFmtId="0" fontId="0" fillId="33" borderId="210" xfId="0" applyFont="1" applyFill="1" applyBorder="1" applyAlignment="1" applyProtection="1">
      <alignment horizontal="left" vertical="top" wrapText="1"/>
    </xf>
    <xf numFmtId="0" fontId="0" fillId="33" borderId="20" xfId="0" applyFont="1" applyFill="1" applyBorder="1" applyAlignment="1" applyProtection="1">
      <alignment horizontal="left" vertical="top" wrapText="1"/>
    </xf>
    <xf numFmtId="0" fontId="0" fillId="33" borderId="211" xfId="0" applyFont="1" applyFill="1" applyBorder="1" applyAlignment="1" applyProtection="1">
      <alignment horizontal="left" vertical="top" wrapText="1"/>
    </xf>
    <xf numFmtId="0" fontId="0" fillId="33" borderId="51" xfId="0" applyFont="1" applyFill="1" applyBorder="1" applyAlignment="1" applyProtection="1">
      <alignment horizontal="left" vertical="top" wrapText="1"/>
    </xf>
    <xf numFmtId="0" fontId="0" fillId="33" borderId="19" xfId="0" applyFill="1" applyBorder="1" applyAlignment="1" applyProtection="1">
      <alignment horizontal="left" vertical="top" wrapText="1"/>
      <protection locked="0"/>
    </xf>
    <xf numFmtId="0" fontId="0" fillId="33" borderId="0" xfId="0" applyFill="1" applyBorder="1" applyAlignment="1" applyProtection="1">
      <alignment horizontal="left" vertical="top" wrapText="1"/>
      <protection locked="0"/>
    </xf>
    <xf numFmtId="0" fontId="0" fillId="33" borderId="20" xfId="0" applyFill="1" applyBorder="1" applyAlignment="1" applyProtection="1">
      <alignment horizontal="left" vertical="top" wrapText="1"/>
      <protection locked="0"/>
    </xf>
    <xf numFmtId="0" fontId="0" fillId="33" borderId="32" xfId="0" applyFill="1" applyBorder="1" applyAlignment="1" applyProtection="1">
      <alignment horizontal="left" vertical="top" wrapText="1"/>
      <protection locked="0"/>
    </xf>
    <xf numFmtId="0" fontId="0" fillId="33" borderId="54" xfId="0" applyFill="1" applyBorder="1" applyAlignment="1" applyProtection="1">
      <alignment horizontal="left" vertical="top" wrapText="1"/>
      <protection locked="0"/>
    </xf>
    <xf numFmtId="0" fontId="0" fillId="33" borderId="51" xfId="0" applyFill="1" applyBorder="1" applyAlignment="1" applyProtection="1">
      <alignment horizontal="left" vertical="top" wrapText="1"/>
      <protection locked="0"/>
    </xf>
    <xf numFmtId="0" fontId="25" fillId="40" borderId="19" xfId="48" applyNumberFormat="1" applyFont="1" applyFill="1" applyBorder="1" applyAlignment="1">
      <alignment horizontal="left" vertical="center"/>
    </xf>
    <xf numFmtId="0" fontId="25" fillId="40" borderId="0" xfId="48" applyNumberFormat="1" applyFont="1" applyFill="1" applyBorder="1" applyAlignment="1">
      <alignment horizontal="left" vertical="center"/>
    </xf>
    <xf numFmtId="0" fontId="25" fillId="40" borderId="20" xfId="48" applyNumberFormat="1" applyFont="1" applyFill="1" applyBorder="1" applyAlignment="1">
      <alignment horizontal="left" vertical="center"/>
    </xf>
    <xf numFmtId="2" fontId="38" fillId="42" borderId="17" xfId="50" applyBorder="1" applyAlignment="1">
      <alignment horizontal="center" vertical="center"/>
    </xf>
    <xf numFmtId="2" fontId="38" fillId="42" borderId="52" xfId="50" applyBorder="1" applyAlignment="1">
      <alignment horizontal="center" vertical="center"/>
    </xf>
    <xf numFmtId="2" fontId="38" fillId="42" borderId="19" xfId="50" applyBorder="1" applyAlignment="1">
      <alignment horizontal="center" vertical="center"/>
    </xf>
    <xf numFmtId="2" fontId="38" fillId="42" borderId="0" xfId="50" applyBorder="1" applyAlignment="1">
      <alignment horizontal="center" vertical="center"/>
    </xf>
    <xf numFmtId="2" fontId="38" fillId="39" borderId="16" xfId="50" applyFill="1">
      <alignment horizontal="left" vertical="center" indent="1"/>
    </xf>
    <xf numFmtId="2" fontId="38" fillId="42" borderId="18" xfId="50" applyBorder="1" applyAlignment="1">
      <alignment horizontal="center" vertical="center"/>
    </xf>
    <xf numFmtId="2" fontId="38" fillId="42" borderId="20" xfId="50" applyBorder="1" applyAlignment="1">
      <alignment horizontal="center" vertical="center"/>
    </xf>
    <xf numFmtId="2" fontId="30" fillId="33" borderId="0" xfId="49" applyNumberFormat="1" applyFont="1" applyFill="1" applyBorder="1" applyAlignment="1">
      <alignment horizontal="center"/>
    </xf>
    <xf numFmtId="2" fontId="38" fillId="42" borderId="17" xfId="50" applyBorder="1" applyAlignment="1">
      <alignment horizontal="left" vertical="center" indent="1"/>
    </xf>
    <xf numFmtId="2" fontId="38" fillId="42" borderId="52" xfId="50" applyBorder="1" applyAlignment="1">
      <alignment horizontal="left" vertical="center" indent="1"/>
    </xf>
    <xf numFmtId="2" fontId="38" fillId="42" borderId="18" xfId="50" applyBorder="1" applyAlignment="1">
      <alignment horizontal="left" vertical="center" indent="1"/>
    </xf>
    <xf numFmtId="0" fontId="35" fillId="34" borderId="52" xfId="52" applyNumberFormat="1" applyBorder="1" applyAlignment="1">
      <alignment horizontal="left" vertical="center" wrapText="1"/>
    </xf>
    <xf numFmtId="0" fontId="35" fillId="34" borderId="0" xfId="52" applyNumberFormat="1" applyAlignment="1">
      <alignment horizontal="left" vertical="center" wrapText="1"/>
    </xf>
    <xf numFmtId="0" fontId="35" fillId="34" borderId="0" xfId="0" applyNumberFormat="1" applyFont="1" applyAlignment="1">
      <alignment horizontal="left" wrapText="1"/>
    </xf>
    <xf numFmtId="0" fontId="25" fillId="46" borderId="19" xfId="0" applyFont="1" applyFill="1" applyBorder="1" applyAlignment="1">
      <alignment horizontal="left" vertical="center" wrapText="1"/>
    </xf>
    <xf numFmtId="0" fontId="25" fillId="46" borderId="46" xfId="0" applyFont="1" applyFill="1" applyBorder="1" applyAlignment="1">
      <alignment horizontal="left" vertical="center" wrapText="1"/>
    </xf>
    <xf numFmtId="2" fontId="38" fillId="39" borderId="17" xfId="50" applyFont="1" applyFill="1" applyBorder="1" applyAlignment="1" applyProtection="1">
      <alignment horizontal="left" vertical="center" indent="1"/>
    </xf>
    <xf numFmtId="2" fontId="38" fillId="39" borderId="52" xfId="50" applyFont="1" applyFill="1" applyBorder="1" applyAlignment="1" applyProtection="1">
      <alignment horizontal="left" vertical="center" indent="1"/>
    </xf>
    <xf numFmtId="2" fontId="38" fillId="39" borderId="18" xfId="50" applyFont="1" applyFill="1" applyBorder="1" applyAlignment="1" applyProtection="1">
      <alignment horizontal="left" vertical="center" indent="1"/>
    </xf>
    <xf numFmtId="0" fontId="35" fillId="34" borderId="0" xfId="52" applyNumberFormat="1" applyBorder="1" applyAlignment="1">
      <alignment horizontal="center" vertical="top" wrapText="1"/>
    </xf>
    <xf numFmtId="0" fontId="46" fillId="37" borderId="19" xfId="0" applyFont="1" applyFill="1" applyBorder="1" applyAlignment="1" applyProtection="1">
      <alignment horizontal="center" vertical="center"/>
    </xf>
    <xf numFmtId="0" fontId="46" fillId="37" borderId="0" xfId="0" applyFont="1" applyFill="1" applyBorder="1" applyAlignment="1" applyProtection="1">
      <alignment horizontal="center" vertical="center"/>
    </xf>
    <xf numFmtId="0" fontId="46" fillId="37" borderId="20" xfId="0" applyFont="1" applyFill="1" applyBorder="1" applyAlignment="1" applyProtection="1">
      <alignment horizontal="center" vertical="center"/>
    </xf>
    <xf numFmtId="0" fontId="46" fillId="37" borderId="32" xfId="0" applyFont="1" applyFill="1" applyBorder="1" applyAlignment="1" applyProtection="1">
      <alignment horizontal="center" vertical="center"/>
    </xf>
    <xf numFmtId="0" fontId="46" fillId="37" borderId="54" xfId="0" applyFont="1" applyFill="1" applyBorder="1" applyAlignment="1" applyProtection="1">
      <alignment horizontal="center" vertical="center"/>
    </xf>
    <xf numFmtId="0" fontId="46" fillId="37" borderId="51" xfId="0" applyFont="1" applyFill="1" applyBorder="1" applyAlignment="1" applyProtection="1">
      <alignment horizontal="center" vertical="center"/>
    </xf>
    <xf numFmtId="0" fontId="25" fillId="40" borderId="133" xfId="0" applyFont="1" applyFill="1" applyBorder="1" applyAlignment="1">
      <alignment vertical="top" wrapText="1"/>
    </xf>
    <xf numFmtId="0" fontId="25" fillId="40" borderId="121" xfId="0" applyFont="1" applyFill="1" applyBorder="1" applyAlignment="1">
      <alignment vertical="top" wrapText="1"/>
    </xf>
    <xf numFmtId="2" fontId="38" fillId="42" borderId="16" xfId="50" applyBorder="1">
      <alignment horizontal="left" vertical="center" indent="1"/>
    </xf>
    <xf numFmtId="0" fontId="25" fillId="40" borderId="75" xfId="0" applyFont="1" applyFill="1" applyBorder="1" applyAlignment="1">
      <alignment horizontal="left"/>
    </xf>
    <xf numFmtId="0" fontId="25" fillId="40" borderId="76" xfId="0" applyFont="1" applyFill="1" applyBorder="1" applyAlignment="1">
      <alignment horizontal="left"/>
    </xf>
    <xf numFmtId="0" fontId="25" fillId="40" borderId="36" xfId="0" applyFont="1" applyFill="1" applyBorder="1" applyAlignment="1">
      <alignment horizontal="left"/>
    </xf>
    <xf numFmtId="0" fontId="25" fillId="40" borderId="79" xfId="0" applyFont="1" applyFill="1" applyBorder="1" applyAlignment="1">
      <alignment horizontal="left"/>
    </xf>
    <xf numFmtId="2" fontId="38" fillId="42" borderId="19" xfId="50" applyBorder="1" applyAlignment="1">
      <alignment horizontal="left" vertical="center" indent="1"/>
    </xf>
    <xf numFmtId="2" fontId="38" fillId="42" borderId="20" xfId="50" applyBorder="1" applyAlignment="1">
      <alignment horizontal="left" vertical="center" indent="1"/>
    </xf>
    <xf numFmtId="2" fontId="38" fillId="42" borderId="16" xfId="50">
      <alignment horizontal="left" vertical="center" indent="1"/>
    </xf>
    <xf numFmtId="49" fontId="34" fillId="41" borderId="40" xfId="53" applyNumberFormat="1" applyFont="1" applyFill="1" applyBorder="1" applyAlignment="1" applyProtection="1">
      <alignment horizontal="left" vertical="top" wrapText="1"/>
      <protection locked="0"/>
    </xf>
    <xf numFmtId="49" fontId="34" fillId="41" borderId="41" xfId="0" applyNumberFormat="1" applyFont="1" applyFill="1" applyBorder="1" applyAlignment="1" applyProtection="1">
      <alignment horizontal="left" vertical="top" wrapText="1"/>
      <protection locked="0"/>
    </xf>
    <xf numFmtId="49" fontId="34" fillId="41" borderId="42" xfId="0" applyNumberFormat="1" applyFont="1" applyFill="1" applyBorder="1" applyAlignment="1" applyProtection="1">
      <alignment horizontal="left" vertical="top" wrapText="1"/>
      <protection locked="0"/>
    </xf>
    <xf numFmtId="0" fontId="25" fillId="40" borderId="43" xfId="0" applyFont="1" applyFill="1" applyBorder="1" applyAlignment="1">
      <alignment horizontal="left" vertical="top" wrapText="1"/>
    </xf>
    <xf numFmtId="0" fontId="25" fillId="40" borderId="44" xfId="0" applyFont="1" applyFill="1" applyBorder="1" applyAlignment="1">
      <alignment horizontal="left" vertical="top" wrapText="1"/>
    </xf>
    <xf numFmtId="0" fontId="25" fillId="40" borderId="45" xfId="0" applyFont="1" applyFill="1" applyBorder="1" applyAlignment="1">
      <alignment horizontal="left" vertical="top" wrapText="1"/>
    </xf>
    <xf numFmtId="0" fontId="35" fillId="34" borderId="19" xfId="52" applyNumberFormat="1" applyBorder="1" applyAlignment="1">
      <alignment horizontal="left" vertical="top" wrapText="1"/>
    </xf>
    <xf numFmtId="0" fontId="35" fillId="34" borderId="0" xfId="52" applyNumberFormat="1" applyBorder="1" applyAlignment="1">
      <alignment horizontal="left" vertical="top" wrapText="1"/>
    </xf>
    <xf numFmtId="0" fontId="0" fillId="37" borderId="77" xfId="0" applyFont="1" applyFill="1" applyBorder="1" applyAlignment="1"/>
    <xf numFmtId="0" fontId="0" fillId="37" borderId="93" xfId="0" applyFont="1" applyFill="1" applyBorder="1" applyAlignment="1"/>
    <xf numFmtId="0" fontId="0" fillId="49" borderId="104" xfId="0" applyNumberFormat="1" applyFont="1" applyFill="1" applyBorder="1" applyAlignment="1" applyProtection="1">
      <alignment horizontal="left" wrapText="1"/>
    </xf>
    <xf numFmtId="0" fontId="0" fillId="41" borderId="0" xfId="0" applyNumberFormat="1" applyFont="1" applyFill="1" applyBorder="1" applyAlignment="1" applyProtection="1">
      <alignment horizontal="left" wrapText="1"/>
    </xf>
    <xf numFmtId="0" fontId="0" fillId="41" borderId="0" xfId="0" applyNumberFormat="1" applyFill="1" applyBorder="1" applyAlignment="1" applyProtection="1">
      <alignment horizontal="left" wrapText="1"/>
    </xf>
    <xf numFmtId="0" fontId="0" fillId="49" borderId="104" xfId="0" applyNumberFormat="1" applyFill="1" applyBorder="1" applyAlignment="1" applyProtection="1">
      <alignment horizontal="left" wrapText="1"/>
    </xf>
    <xf numFmtId="2" fontId="0" fillId="0" borderId="216" xfId="0" applyNumberFormat="1" applyFont="1" applyFill="1" applyBorder="1" applyAlignment="1" applyProtection="1">
      <alignment horizontal="center"/>
      <protection locked="0"/>
    </xf>
    <xf numFmtId="2" fontId="0" fillId="0" borderId="235" xfId="0" applyNumberFormat="1" applyFont="1" applyFill="1" applyBorder="1" applyAlignment="1" applyProtection="1">
      <alignment horizontal="center"/>
      <protection locked="0"/>
    </xf>
    <xf numFmtId="0" fontId="44" fillId="41" borderId="231" xfId="0" applyNumberFormat="1" applyFont="1" applyFill="1" applyBorder="1" applyAlignment="1" applyProtection="1">
      <alignment horizontal="center" vertical="center" wrapText="1"/>
    </xf>
    <xf numFmtId="0" fontId="44" fillId="41" borderId="104" xfId="0" applyNumberFormat="1" applyFont="1" applyFill="1" applyBorder="1" applyAlignment="1" applyProtection="1">
      <alignment horizontal="center" vertical="center" wrapText="1"/>
    </xf>
    <xf numFmtId="0" fontId="44" fillId="41" borderId="232" xfId="0" applyNumberFormat="1" applyFont="1" applyFill="1" applyBorder="1" applyAlignment="1" applyProtection="1">
      <alignment horizontal="center" vertical="center" wrapText="1"/>
    </xf>
    <xf numFmtId="0" fontId="44" fillId="49" borderId="231" xfId="0" applyNumberFormat="1" applyFont="1" applyFill="1" applyBorder="1" applyAlignment="1" applyProtection="1">
      <alignment horizontal="center" vertical="center" wrapText="1"/>
    </xf>
    <xf numFmtId="0" fontId="44" fillId="49" borderId="104" xfId="0" applyNumberFormat="1" applyFont="1" applyFill="1" applyBorder="1" applyAlignment="1" applyProtection="1">
      <alignment horizontal="center" vertical="center" wrapText="1"/>
    </xf>
    <xf numFmtId="0" fontId="44" fillId="49" borderId="232" xfId="0" applyNumberFormat="1" applyFont="1" applyFill="1" applyBorder="1" applyAlignment="1" applyProtection="1">
      <alignment horizontal="center" vertical="center" wrapText="1"/>
    </xf>
    <xf numFmtId="168" fontId="0" fillId="0" borderId="223" xfId="0" applyNumberFormat="1" applyFont="1" applyFill="1" applyBorder="1" applyAlignment="1" applyProtection="1">
      <alignment horizontal="left"/>
      <protection locked="0"/>
    </xf>
    <xf numFmtId="168" fontId="0" fillId="0" borderId="216" xfId="0" applyNumberFormat="1" applyFont="1" applyFill="1" applyBorder="1" applyAlignment="1" applyProtection="1">
      <alignment horizontal="left"/>
      <protection locked="0"/>
    </xf>
    <xf numFmtId="168" fontId="0" fillId="34" borderId="223" xfId="0" applyNumberFormat="1" applyFont="1" applyFill="1" applyBorder="1" applyAlignment="1" applyProtection="1">
      <alignment horizontal="left"/>
      <protection locked="0"/>
    </xf>
    <xf numFmtId="168" fontId="0" fillId="34" borderId="216" xfId="0" applyNumberFormat="1" applyFont="1" applyFill="1" applyBorder="1" applyAlignment="1" applyProtection="1">
      <alignment horizontal="left"/>
      <protection locked="0"/>
    </xf>
    <xf numFmtId="2" fontId="0" fillId="34" borderId="216" xfId="0" applyNumberFormat="1" applyFont="1" applyFill="1" applyBorder="1" applyAlignment="1" applyProtection="1">
      <alignment horizontal="center"/>
      <protection locked="0"/>
    </xf>
    <xf numFmtId="2" fontId="0" fillId="34" borderId="235" xfId="0" applyNumberFormat="1" applyFont="1" applyFill="1" applyBorder="1" applyAlignment="1" applyProtection="1">
      <alignment horizontal="center"/>
      <protection locked="0"/>
    </xf>
    <xf numFmtId="0" fontId="34" fillId="50" borderId="0" xfId="68"/>
    <xf numFmtId="168" fontId="0" fillId="34" borderId="222" xfId="0" applyNumberFormat="1" applyFont="1" applyFill="1" applyBorder="1" applyAlignment="1" applyProtection="1">
      <alignment horizontal="left"/>
      <protection locked="0"/>
    </xf>
    <xf numFmtId="168" fontId="0" fillId="34" borderId="215" xfId="0" applyNumberFormat="1" applyFont="1" applyFill="1" applyBorder="1" applyAlignment="1" applyProtection="1">
      <alignment horizontal="left"/>
      <protection locked="0"/>
    </xf>
    <xf numFmtId="168" fontId="0" fillId="34" borderId="80" xfId="0" applyNumberFormat="1" applyFont="1" applyFill="1" applyBorder="1" applyAlignment="1" applyProtection="1">
      <alignment horizontal="left"/>
      <protection locked="0"/>
    </xf>
    <xf numFmtId="168" fontId="0" fillId="34" borderId="90" xfId="0" applyNumberFormat="1" applyFont="1" applyFill="1" applyBorder="1" applyAlignment="1" applyProtection="1">
      <alignment horizontal="left"/>
      <protection locked="0"/>
    </xf>
    <xf numFmtId="0" fontId="0" fillId="0" borderId="80" xfId="0" applyFont="1" applyFill="1" applyBorder="1" applyAlignment="1" applyProtection="1">
      <alignment horizontal="left" wrapText="1"/>
      <protection locked="0"/>
    </xf>
    <xf numFmtId="0" fontId="0" fillId="0" borderId="104" xfId="0" applyFont="1" applyFill="1" applyBorder="1" applyAlignment="1" applyProtection="1">
      <alignment horizontal="left" wrapText="1"/>
      <protection locked="0"/>
    </xf>
    <xf numFmtId="0" fontId="0" fillId="0" borderId="93" xfId="0" applyFont="1" applyFill="1" applyBorder="1" applyAlignment="1" applyProtection="1">
      <alignment horizontal="left" wrapText="1"/>
      <protection locked="0"/>
    </xf>
    <xf numFmtId="168" fontId="0" fillId="0" borderId="226" xfId="0" applyNumberFormat="1" applyFont="1" applyFill="1" applyBorder="1" applyAlignment="1" applyProtection="1">
      <alignment horizontal="left"/>
      <protection locked="0"/>
    </xf>
    <xf numFmtId="168" fontId="0" fillId="0" borderId="228" xfId="0" applyNumberFormat="1" applyFont="1" applyFill="1" applyBorder="1" applyAlignment="1" applyProtection="1">
      <alignment horizontal="left"/>
      <protection locked="0"/>
    </xf>
    <xf numFmtId="0" fontId="0" fillId="49" borderId="231" xfId="0" applyNumberFormat="1" applyFont="1" applyFill="1" applyBorder="1" applyAlignment="1" applyProtection="1">
      <alignment wrapText="1"/>
      <protection locked="0"/>
    </xf>
    <xf numFmtId="0" fontId="0" fillId="49" borderId="104" xfId="0" applyNumberFormat="1" applyFont="1" applyFill="1" applyBorder="1" applyAlignment="1" applyProtection="1">
      <alignment wrapText="1"/>
      <protection locked="0"/>
    </xf>
    <xf numFmtId="0" fontId="0" fillId="49" borderId="232" xfId="0" applyNumberFormat="1" applyFont="1" applyFill="1" applyBorder="1" applyAlignment="1" applyProtection="1">
      <alignment wrapText="1"/>
      <protection locked="0"/>
    </xf>
    <xf numFmtId="0" fontId="0" fillId="49" borderId="69" xfId="0" applyNumberFormat="1" applyFill="1" applyBorder="1" applyAlignment="1" applyProtection="1">
      <alignment horizontal="left" wrapText="1"/>
    </xf>
    <xf numFmtId="0" fontId="0" fillId="49" borderId="236" xfId="0" applyNumberFormat="1" applyFill="1" applyBorder="1" applyAlignment="1" applyProtection="1">
      <alignment horizontal="left" wrapText="1"/>
    </xf>
    <xf numFmtId="0" fontId="37" fillId="40" borderId="38" xfId="0" applyFont="1" applyFill="1" applyBorder="1" applyAlignment="1">
      <alignment horizontal="center" vertical="center" wrapText="1"/>
    </xf>
    <xf numFmtId="0" fontId="37" fillId="40" borderId="0" xfId="0" applyFont="1" applyFill="1" applyBorder="1" applyAlignment="1">
      <alignment horizontal="center" vertical="center" wrapText="1"/>
    </xf>
    <xf numFmtId="0" fontId="37" fillId="40" borderId="121" xfId="0" applyFont="1" applyFill="1" applyBorder="1" applyAlignment="1">
      <alignment horizontal="center" vertical="center" wrapText="1"/>
    </xf>
    <xf numFmtId="0" fontId="44" fillId="41" borderId="78" xfId="0" applyNumberFormat="1" applyFont="1" applyFill="1" applyBorder="1" applyAlignment="1" applyProtection="1">
      <alignment horizontal="center" vertical="center" wrapText="1"/>
    </xf>
    <xf numFmtId="0" fontId="0" fillId="37" borderId="254" xfId="0" applyFont="1" applyFill="1" applyBorder="1" applyAlignment="1"/>
    <xf numFmtId="0" fontId="0" fillId="37" borderId="262" xfId="0" applyFont="1" applyFill="1" applyBorder="1" applyAlignment="1"/>
    <xf numFmtId="168" fontId="0" fillId="34" borderId="238" xfId="0" applyNumberFormat="1" applyFont="1" applyFill="1" applyBorder="1" applyAlignment="1" applyProtection="1">
      <alignment horizontal="left"/>
      <protection locked="0"/>
    </xf>
    <xf numFmtId="168" fontId="0" fillId="34" borderId="253" xfId="0" applyNumberFormat="1" applyFont="1" applyFill="1" applyBorder="1" applyAlignment="1" applyProtection="1">
      <alignment horizontal="left"/>
      <protection locked="0"/>
    </xf>
    <xf numFmtId="2" fontId="0" fillId="34" borderId="39" xfId="0" applyNumberFormat="1" applyFont="1" applyFill="1" applyBorder="1" applyAlignment="1" applyProtection="1">
      <alignment horizontal="center"/>
      <protection locked="0"/>
    </xf>
    <xf numFmtId="2" fontId="0" fillId="34" borderId="94" xfId="0" applyNumberFormat="1" applyFont="1" applyFill="1" applyBorder="1" applyAlignment="1" applyProtection="1">
      <alignment horizontal="center"/>
      <protection locked="0"/>
    </xf>
    <xf numFmtId="2" fontId="0" fillId="34" borderId="73" xfId="0" applyNumberFormat="1" applyFont="1" applyFill="1" applyBorder="1" applyAlignment="1" applyProtection="1">
      <alignment horizontal="center"/>
      <protection locked="0"/>
    </xf>
    <xf numFmtId="2" fontId="0" fillId="34" borderId="93" xfId="0" applyNumberFormat="1" applyFont="1" applyFill="1" applyBorder="1" applyAlignment="1" applyProtection="1">
      <alignment horizontal="center"/>
      <protection locked="0"/>
    </xf>
    <xf numFmtId="2" fontId="0" fillId="0" borderId="73" xfId="0" applyNumberFormat="1" applyFont="1" applyFill="1" applyBorder="1" applyAlignment="1" applyProtection="1">
      <alignment horizontal="center"/>
      <protection locked="0"/>
    </xf>
    <xf numFmtId="2" fontId="0" fillId="0" borderId="93" xfId="0" applyNumberFormat="1" applyFont="1" applyFill="1" applyBorder="1" applyAlignment="1" applyProtection="1">
      <alignment horizontal="center"/>
      <protection locked="0"/>
    </xf>
    <xf numFmtId="168" fontId="0" fillId="0" borderId="238" xfId="0" applyNumberFormat="1" applyFont="1" applyFill="1" applyBorder="1" applyAlignment="1" applyProtection="1">
      <alignment horizontal="left"/>
      <protection locked="0"/>
    </xf>
    <xf numFmtId="168" fontId="0" fillId="0" borderId="253" xfId="0" applyNumberFormat="1" applyFont="1" applyFill="1" applyBorder="1" applyAlignment="1" applyProtection="1">
      <alignment horizontal="left"/>
      <protection locked="0"/>
    </xf>
    <xf numFmtId="168" fontId="0" fillId="34" borderId="256" xfId="0" applyNumberFormat="1" applyFont="1" applyFill="1" applyBorder="1" applyAlignment="1" applyProtection="1">
      <alignment horizontal="left"/>
      <protection locked="0"/>
    </xf>
    <xf numFmtId="168" fontId="0" fillId="0" borderId="256" xfId="0" applyNumberFormat="1" applyFont="1" applyFill="1" applyBorder="1" applyAlignment="1" applyProtection="1">
      <alignment horizontal="left"/>
      <protection locked="0"/>
    </xf>
    <xf numFmtId="168" fontId="0" fillId="0" borderId="90" xfId="0" applyNumberFormat="1" applyFont="1" applyFill="1" applyBorder="1" applyAlignment="1" applyProtection="1">
      <alignment horizontal="left"/>
      <protection locked="0"/>
    </xf>
    <xf numFmtId="0" fontId="0" fillId="41" borderId="251" xfId="0" applyNumberFormat="1" applyFont="1" applyFill="1" applyBorder="1" applyAlignment="1" applyProtection="1">
      <alignment horizontal="left" wrapText="1"/>
      <protection locked="0"/>
    </xf>
    <xf numFmtId="0" fontId="0" fillId="41" borderId="158" xfId="0" applyNumberFormat="1" applyFont="1" applyFill="1" applyBorder="1" applyAlignment="1" applyProtection="1">
      <alignment horizontal="left" wrapText="1"/>
      <protection locked="0"/>
    </xf>
    <xf numFmtId="0" fontId="0" fillId="49" borderId="39" xfId="0" applyNumberFormat="1" applyFont="1" applyFill="1" applyBorder="1" applyAlignment="1" applyProtection="1">
      <alignment wrapText="1"/>
      <protection locked="0"/>
    </xf>
    <xf numFmtId="0" fontId="0" fillId="49" borderId="69" xfId="0" applyNumberFormat="1" applyFont="1" applyFill="1" applyBorder="1" applyAlignment="1" applyProtection="1">
      <alignment wrapText="1"/>
      <protection locked="0"/>
    </xf>
    <xf numFmtId="0" fontId="0" fillId="49" borderId="225" xfId="0" applyNumberFormat="1" applyFont="1" applyFill="1" applyBorder="1" applyAlignment="1" applyProtection="1">
      <alignment wrapText="1"/>
      <protection locked="0"/>
    </xf>
    <xf numFmtId="0" fontId="0" fillId="49" borderId="259" xfId="0" applyNumberFormat="1" applyFont="1" applyFill="1" applyBorder="1" applyAlignment="1" applyProtection="1">
      <alignment horizontal="left" wrapText="1"/>
      <protection locked="0"/>
    </xf>
    <xf numFmtId="0" fontId="0" fillId="49" borderId="159" xfId="0" applyNumberFormat="1" applyFont="1" applyFill="1" applyBorder="1" applyAlignment="1" applyProtection="1">
      <alignment horizontal="left" wrapText="1"/>
      <protection locked="0"/>
    </xf>
    <xf numFmtId="0" fontId="34" fillId="50" borderId="54" xfId="68" applyBorder="1"/>
    <xf numFmtId="0" fontId="34" fillId="50" borderId="118" xfId="68" applyBorder="1"/>
    <xf numFmtId="0" fontId="34" fillId="50" borderId="0" xfId="68" applyBorder="1"/>
    <xf numFmtId="0" fontId="34" fillId="50" borderId="265" xfId="68" applyBorder="1"/>
    <xf numFmtId="0" fontId="0" fillId="0" borderId="53" xfId="0" applyFill="1" applyBorder="1" applyAlignment="1" applyProtection="1">
      <alignment wrapText="1"/>
      <protection locked="0"/>
    </xf>
    <xf numFmtId="0" fontId="0" fillId="0" borderId="69" xfId="0" applyFill="1" applyBorder="1" applyAlignment="1" applyProtection="1">
      <alignment wrapText="1"/>
      <protection locked="0"/>
    </xf>
    <xf numFmtId="0" fontId="0" fillId="0" borderId="266" xfId="0" applyFill="1" applyBorder="1" applyAlignment="1" applyProtection="1">
      <alignment wrapText="1"/>
      <protection locked="0"/>
    </xf>
    <xf numFmtId="0" fontId="25" fillId="40" borderId="19" xfId="0" applyFont="1" applyFill="1" applyBorder="1" applyAlignment="1">
      <alignment horizontal="center" vertical="center" wrapText="1"/>
    </xf>
    <xf numFmtId="0" fontId="25" fillId="40" borderId="121" xfId="0" applyFont="1" applyFill="1" applyBorder="1" applyAlignment="1">
      <alignment horizontal="center" vertical="center" wrapText="1"/>
    </xf>
    <xf numFmtId="0" fontId="25" fillId="40" borderId="32" xfId="0" applyFont="1" applyFill="1" applyBorder="1" applyAlignment="1">
      <alignment horizontal="center" vertical="center" wrapText="1"/>
    </xf>
    <xf numFmtId="0" fontId="25" fillId="40" borderId="171" xfId="0" applyFont="1" applyFill="1" applyBorder="1" applyAlignment="1">
      <alignment horizontal="center" vertical="center" wrapText="1"/>
    </xf>
    <xf numFmtId="2" fontId="0" fillId="0" borderId="228" xfId="0" applyNumberFormat="1" applyFont="1" applyFill="1" applyBorder="1" applyAlignment="1" applyProtection="1">
      <alignment horizontal="center"/>
      <protection locked="0"/>
    </xf>
    <xf numFmtId="2" fontId="0" fillId="0" borderId="229" xfId="0" applyNumberFormat="1" applyFont="1" applyFill="1" applyBorder="1" applyAlignment="1" applyProtection="1">
      <alignment horizontal="center"/>
      <protection locked="0"/>
    </xf>
    <xf numFmtId="0" fontId="0" fillId="41" borderId="159" xfId="0" applyNumberFormat="1" applyFill="1" applyBorder="1" applyAlignment="1" applyProtection="1">
      <alignment wrapText="1"/>
    </xf>
    <xf numFmtId="0" fontId="0" fillId="41" borderId="217" xfId="0" applyNumberFormat="1" applyFill="1" applyBorder="1" applyAlignment="1" applyProtection="1">
      <alignment wrapText="1"/>
    </xf>
    <xf numFmtId="0" fontId="0" fillId="41" borderId="231" xfId="0" applyNumberFormat="1" applyFont="1" applyFill="1" applyBorder="1" applyAlignment="1" applyProtection="1">
      <alignment wrapText="1"/>
      <protection locked="0"/>
    </xf>
    <xf numFmtId="0" fontId="0" fillId="41" borderId="104" xfId="0" applyNumberFormat="1" applyFont="1" applyFill="1" applyBorder="1" applyAlignment="1" applyProtection="1">
      <alignment wrapText="1"/>
      <protection locked="0"/>
    </xf>
    <xf numFmtId="0" fontId="0" fillId="41" borderId="232" xfId="0" applyNumberFormat="1" applyFont="1" applyFill="1" applyBorder="1" applyAlignment="1" applyProtection="1">
      <alignment wrapText="1"/>
      <protection locked="0"/>
    </xf>
    <xf numFmtId="0" fontId="37" fillId="40" borderId="20" xfId="0" applyFont="1" applyFill="1" applyBorder="1" applyAlignment="1">
      <alignment horizontal="center" vertical="center" wrapText="1"/>
    </xf>
    <xf numFmtId="168" fontId="0" fillId="34" borderId="15" xfId="0" applyNumberFormat="1" applyFont="1" applyFill="1" applyBorder="1" applyAlignment="1" applyProtection="1">
      <alignment horizontal="left"/>
      <protection locked="0"/>
    </xf>
    <xf numFmtId="168" fontId="0" fillId="34" borderId="214" xfId="0" applyNumberFormat="1" applyFont="1" applyFill="1" applyBorder="1" applyAlignment="1" applyProtection="1">
      <alignment horizontal="left"/>
      <protection locked="0"/>
    </xf>
    <xf numFmtId="0" fontId="0" fillId="49" borderId="233" xfId="0" applyNumberFormat="1" applyFill="1" applyBorder="1" applyAlignment="1" applyProtection="1">
      <alignment horizontal="left" wrapText="1"/>
    </xf>
    <xf numFmtId="0" fontId="0" fillId="41" borderId="104" xfId="0" applyNumberFormat="1" applyFill="1" applyBorder="1" applyAlignment="1" applyProtection="1">
      <alignment horizontal="left" wrapText="1"/>
    </xf>
    <xf numFmtId="0" fontId="0" fillId="41" borderId="233" xfId="0" applyNumberFormat="1" applyFill="1" applyBorder="1" applyAlignment="1" applyProtection="1">
      <alignment horizontal="left" wrapText="1"/>
    </xf>
    <xf numFmtId="168" fontId="0" fillId="0" borderId="80" xfId="0" applyNumberFormat="1" applyFont="1" applyFill="1" applyBorder="1" applyAlignment="1" applyProtection="1">
      <alignment horizontal="left"/>
      <protection locked="0"/>
    </xf>
    <xf numFmtId="0" fontId="44" fillId="49" borderId="78" xfId="0" applyNumberFormat="1" applyFont="1" applyFill="1" applyBorder="1" applyAlignment="1" applyProtection="1">
      <alignment horizontal="center" vertical="center" wrapText="1"/>
    </xf>
    <xf numFmtId="0" fontId="37" fillId="40" borderId="118" xfId="0" applyFont="1" applyFill="1" applyBorder="1" applyAlignment="1">
      <alignment horizontal="center" vertical="center" wrapText="1"/>
    </xf>
    <xf numFmtId="0" fontId="37" fillId="40" borderId="99" xfId="0" applyFont="1" applyFill="1" applyBorder="1" applyAlignment="1">
      <alignment horizontal="center" vertical="center" wrapText="1"/>
    </xf>
    <xf numFmtId="0" fontId="25" fillId="40" borderId="155" xfId="0" applyFont="1" applyFill="1" applyBorder="1" applyAlignment="1">
      <alignment horizontal="left"/>
    </xf>
    <xf numFmtId="0" fontId="25" fillId="40" borderId="159" xfId="0" applyFont="1" applyFill="1" applyBorder="1" applyAlignment="1">
      <alignment horizontal="left"/>
    </xf>
    <xf numFmtId="0" fontId="25" fillId="40" borderId="156" xfId="0" applyFont="1" applyFill="1" applyBorder="1" applyAlignment="1">
      <alignment horizontal="left"/>
    </xf>
    <xf numFmtId="0" fontId="25" fillId="40" borderId="153" xfId="0" applyFont="1" applyFill="1" applyBorder="1" applyAlignment="1">
      <alignment horizontal="left"/>
    </xf>
    <xf numFmtId="0" fontId="25" fillId="40" borderId="158" xfId="0" applyFont="1" applyFill="1" applyBorder="1" applyAlignment="1">
      <alignment horizontal="left"/>
    </xf>
    <xf numFmtId="0" fontId="25" fillId="40" borderId="154" xfId="0" applyFont="1" applyFill="1" applyBorder="1" applyAlignment="1">
      <alignment horizontal="left"/>
    </xf>
    <xf numFmtId="2" fontId="0" fillId="34" borderId="29" xfId="0" applyNumberFormat="1" applyFont="1" applyFill="1" applyBorder="1" applyAlignment="1" applyProtection="1">
      <alignment horizontal="center"/>
      <protection locked="0"/>
    </xf>
    <xf numFmtId="2" fontId="0" fillId="34" borderId="103" xfId="0" applyNumberFormat="1" applyFont="1" applyFill="1" applyBorder="1" applyAlignment="1" applyProtection="1">
      <alignment horizontal="center"/>
      <protection locked="0"/>
    </xf>
    <xf numFmtId="2" fontId="38" fillId="39" borderId="19" xfId="50" applyFont="1" applyFill="1" applyBorder="1" applyAlignment="1" applyProtection="1">
      <alignment horizontal="left" vertical="center" indent="1"/>
    </xf>
    <xf numFmtId="2" fontId="38" fillId="39" borderId="0" xfId="50" applyFont="1" applyFill="1" applyBorder="1" applyAlignment="1" applyProtection="1">
      <alignment horizontal="left" vertical="center" indent="1"/>
    </xf>
    <xf numFmtId="2" fontId="38" fillId="39" borderId="20" xfId="50" applyFont="1" applyFill="1" applyBorder="1" applyAlignment="1" applyProtection="1">
      <alignment horizontal="left" vertical="center" indent="1"/>
    </xf>
    <xf numFmtId="0" fontId="28" fillId="34" borderId="19" xfId="0" applyFont="1" applyBorder="1" applyAlignment="1" applyProtection="1">
      <alignment horizontal="left" vertical="top" wrapText="1"/>
    </xf>
    <xf numFmtId="0" fontId="28" fillId="34" borderId="0" xfId="0" applyFont="1" applyBorder="1" applyAlignment="1" applyProtection="1">
      <alignment horizontal="left" vertical="top" wrapText="1"/>
    </xf>
    <xf numFmtId="2" fontId="38" fillId="42" borderId="0" xfId="50" applyBorder="1" applyAlignment="1">
      <alignment horizontal="left" vertical="center" indent="1"/>
    </xf>
    <xf numFmtId="22" fontId="0" fillId="41" borderId="53" xfId="0" applyNumberFormat="1" applyFont="1" applyFill="1" applyBorder="1" applyAlignment="1" applyProtection="1">
      <alignment horizontal="left"/>
      <protection locked="0"/>
    </xf>
    <xf numFmtId="22" fontId="0" fillId="41" borderId="69" xfId="0" applyNumberFormat="1" applyFont="1" applyFill="1" applyBorder="1" applyAlignment="1" applyProtection="1">
      <alignment horizontal="left"/>
      <protection locked="0"/>
    </xf>
    <xf numFmtId="22" fontId="0" fillId="41" borderId="94" xfId="0" applyNumberFormat="1" applyFont="1" applyFill="1" applyBorder="1" applyAlignment="1" applyProtection="1">
      <alignment horizontal="left"/>
      <protection locked="0"/>
    </xf>
    <xf numFmtId="0" fontId="25" fillId="40" borderId="151" xfId="0" applyFont="1" applyFill="1" applyBorder="1" applyAlignment="1">
      <alignment horizontal="left" wrapText="1"/>
    </xf>
    <xf numFmtId="0" fontId="25" fillId="40" borderId="157" xfId="0" applyFont="1" applyFill="1" applyBorder="1" applyAlignment="1">
      <alignment horizontal="left" wrapText="1"/>
    </xf>
    <xf numFmtId="0" fontId="25" fillId="40" borderId="152" xfId="0" applyFont="1" applyFill="1" applyBorder="1" applyAlignment="1">
      <alignment horizontal="left" wrapText="1"/>
    </xf>
    <xf numFmtId="0" fontId="25" fillId="40" borderId="153" xfId="0" applyFont="1" applyFill="1" applyBorder="1" applyAlignment="1">
      <alignment horizontal="left" wrapText="1"/>
    </xf>
    <xf numFmtId="0" fontId="25" fillId="40" borderId="158" xfId="0" applyFont="1" applyFill="1" applyBorder="1" applyAlignment="1">
      <alignment horizontal="left" wrapText="1"/>
    </xf>
    <xf numFmtId="0" fontId="25" fillId="40" borderId="154" xfId="0" applyFont="1" applyFill="1" applyBorder="1" applyAlignment="1">
      <alignment horizontal="left" wrapText="1"/>
    </xf>
    <xf numFmtId="0" fontId="25" fillId="40" borderId="155" xfId="0" applyFont="1" applyFill="1" applyBorder="1" applyAlignment="1">
      <alignment horizontal="left" wrapText="1"/>
    </xf>
    <xf numFmtId="0" fontId="25" fillId="40" borderId="159" xfId="0" applyFont="1" applyFill="1" applyBorder="1" applyAlignment="1">
      <alignment horizontal="left" wrapText="1"/>
    </xf>
    <xf numFmtId="0" fontId="25" fillId="40" borderId="156" xfId="0" applyFont="1" applyFill="1" applyBorder="1" applyAlignment="1">
      <alignment horizontal="left" wrapText="1"/>
    </xf>
    <xf numFmtId="0" fontId="25" fillId="40" borderId="151" xfId="0" applyFont="1" applyFill="1" applyBorder="1" applyAlignment="1">
      <alignment horizontal="left"/>
    </xf>
    <xf numFmtId="0" fontId="25" fillId="40" borderId="157" xfId="0" applyFont="1" applyFill="1" applyBorder="1" applyAlignment="1">
      <alignment horizontal="left"/>
    </xf>
    <xf numFmtId="0" fontId="25" fillId="40" borderId="152" xfId="0" applyFont="1" applyFill="1" applyBorder="1" applyAlignment="1">
      <alignment horizontal="left"/>
    </xf>
    <xf numFmtId="168" fontId="0" fillId="0" borderId="91" xfId="0" applyNumberFormat="1" applyFont="1" applyFill="1" applyBorder="1" applyAlignment="1" applyProtection="1">
      <alignment horizontal="left"/>
      <protection locked="0"/>
    </xf>
    <xf numFmtId="168" fontId="0" fillId="0" borderId="107" xfId="0" applyNumberFormat="1" applyFont="1" applyFill="1" applyBorder="1" applyAlignment="1" applyProtection="1">
      <alignment horizontal="left"/>
      <protection locked="0"/>
    </xf>
    <xf numFmtId="0" fontId="25" fillId="46" borderId="36" xfId="0" applyFont="1" applyFill="1" applyBorder="1" applyAlignment="1">
      <alignment horizontal="left" wrapText="1"/>
    </xf>
    <xf numFmtId="0" fontId="25" fillId="46" borderId="79" xfId="0" applyFont="1" applyFill="1" applyBorder="1" applyAlignment="1">
      <alignment horizontal="left" wrapText="1"/>
    </xf>
    <xf numFmtId="22" fontId="0" fillId="41" borderId="160" xfId="0" applyNumberFormat="1" applyFont="1" applyFill="1" applyBorder="1" applyAlignment="1" applyProtection="1">
      <alignment horizontal="left"/>
      <protection locked="0"/>
    </xf>
    <xf numFmtId="22" fontId="0" fillId="41" borderId="54" xfId="0" applyNumberFormat="1" applyFont="1" applyFill="1" applyBorder="1" applyAlignment="1" applyProtection="1">
      <alignment horizontal="left"/>
      <protection locked="0"/>
    </xf>
    <xf numFmtId="0" fontId="25" fillId="40" borderId="77" xfId="0" applyFont="1" applyFill="1" applyBorder="1" applyAlignment="1">
      <alignment horizontal="left" wrapText="1"/>
    </xf>
    <xf numFmtId="0" fontId="25" fillId="40" borderId="78" xfId="0" applyFont="1" applyFill="1" applyBorder="1" applyAlignment="1">
      <alignment horizontal="left" wrapText="1"/>
    </xf>
    <xf numFmtId="0" fontId="25" fillId="40" borderId="177" xfId="0" applyFont="1" applyFill="1" applyBorder="1" applyAlignment="1">
      <alignment horizontal="left" vertical="center" wrapText="1"/>
    </xf>
    <xf numFmtId="0" fontId="25" fillId="40" borderId="11" xfId="0" applyFont="1" applyFill="1" applyBorder="1" applyAlignment="1">
      <alignment horizontal="left" vertical="center" wrapText="1"/>
    </xf>
    <xf numFmtId="0" fontId="0" fillId="41" borderId="91" xfId="0" applyFont="1" applyFill="1" applyBorder="1" applyAlignment="1" applyProtection="1">
      <alignment wrapText="1"/>
      <protection locked="0"/>
    </xf>
    <xf numFmtId="0" fontId="0" fillId="41" borderId="74" xfId="0" applyFont="1" applyFill="1" applyBorder="1" applyAlignment="1" applyProtection="1">
      <alignment wrapText="1"/>
      <protection locked="0"/>
    </xf>
    <xf numFmtId="0" fontId="0" fillId="41" borderId="268" xfId="0" applyFont="1" applyFill="1" applyBorder="1" applyAlignment="1" applyProtection="1">
      <alignment wrapText="1"/>
      <protection locked="0"/>
    </xf>
    <xf numFmtId="0" fontId="0" fillId="41" borderId="104" xfId="0" applyNumberFormat="1" applyFont="1" applyFill="1" applyBorder="1" applyAlignment="1" applyProtection="1">
      <alignment wrapText="1"/>
    </xf>
    <xf numFmtId="0" fontId="0" fillId="41" borderId="233" xfId="0" applyNumberFormat="1" applyFont="1" applyFill="1" applyBorder="1" applyAlignment="1" applyProtection="1">
      <alignment wrapText="1"/>
    </xf>
    <xf numFmtId="0" fontId="0" fillId="49" borderId="104" xfId="0" applyNumberFormat="1" applyFont="1" applyFill="1" applyBorder="1" applyAlignment="1" applyProtection="1">
      <alignment wrapText="1"/>
    </xf>
    <xf numFmtId="0" fontId="0" fillId="49" borderId="233" xfId="0" applyNumberFormat="1" applyFont="1" applyFill="1" applyBorder="1" applyAlignment="1" applyProtection="1">
      <alignment wrapText="1"/>
    </xf>
    <xf numFmtId="0" fontId="0" fillId="49" borderId="69" xfId="0" applyNumberFormat="1" applyFont="1" applyFill="1" applyBorder="1" applyAlignment="1" applyProtection="1">
      <alignment horizontal="left" wrapText="1"/>
    </xf>
    <xf numFmtId="168" fontId="0" fillId="34" borderId="224" xfId="0" applyNumberFormat="1" applyFont="1" applyFill="1" applyBorder="1" applyAlignment="1" applyProtection="1">
      <alignment horizontal="left"/>
      <protection locked="0"/>
    </xf>
    <xf numFmtId="168" fontId="0" fillId="34" borderId="218" xfId="0" applyNumberFormat="1" applyFont="1" applyFill="1" applyBorder="1" applyAlignment="1" applyProtection="1">
      <alignment horizontal="left"/>
      <protection locked="0"/>
    </xf>
    <xf numFmtId="0" fontId="0" fillId="41" borderId="263" xfId="0" applyNumberFormat="1" applyFont="1" applyFill="1" applyBorder="1" applyAlignment="1" applyProtection="1">
      <alignment horizontal="left" wrapText="1"/>
      <protection locked="0"/>
    </xf>
    <xf numFmtId="0" fontId="0" fillId="49" borderId="251" xfId="0" applyNumberFormat="1" applyFont="1" applyFill="1" applyBorder="1" applyAlignment="1" applyProtection="1">
      <alignment horizontal="left" wrapText="1"/>
      <protection locked="0"/>
    </xf>
    <xf numFmtId="0" fontId="0" fillId="49" borderId="158" xfId="0" applyNumberFormat="1" applyFont="1" applyFill="1" applyBorder="1" applyAlignment="1" applyProtection="1">
      <alignment horizontal="left" wrapText="1"/>
      <protection locked="0"/>
    </xf>
    <xf numFmtId="0" fontId="0" fillId="34" borderId="73" xfId="0" applyNumberFormat="1" applyFont="1" applyFill="1" applyBorder="1" applyAlignment="1" applyProtection="1">
      <alignment wrapText="1"/>
      <protection locked="0"/>
    </xf>
    <xf numFmtId="0" fontId="0" fillId="34" borderId="104" xfId="0" applyNumberFormat="1" applyFont="1" applyFill="1" applyBorder="1" applyAlignment="1" applyProtection="1">
      <alignment wrapText="1"/>
      <protection locked="0"/>
    </xf>
    <xf numFmtId="0" fontId="0" fillId="34" borderId="232" xfId="0" applyNumberFormat="1" applyFont="1" applyFill="1" applyBorder="1" applyAlignment="1" applyProtection="1">
      <alignment wrapText="1"/>
      <protection locked="0"/>
    </xf>
    <xf numFmtId="2" fontId="0" fillId="34" borderId="218" xfId="0" applyNumberFormat="1" applyFont="1" applyFill="1" applyBorder="1" applyAlignment="1" applyProtection="1">
      <alignment horizontal="center"/>
      <protection locked="0"/>
    </xf>
    <xf numFmtId="2" fontId="0" fillId="34" borderId="234" xfId="0" applyNumberFormat="1" applyFont="1" applyFill="1" applyBorder="1" applyAlignment="1" applyProtection="1">
      <alignment horizontal="center"/>
      <protection locked="0"/>
    </xf>
    <xf numFmtId="0" fontId="0" fillId="41" borderId="104" xfId="0" applyNumberFormat="1" applyFont="1" applyFill="1" applyBorder="1" applyAlignment="1" applyProtection="1">
      <alignment horizontal="left" wrapText="1"/>
    </xf>
    <xf numFmtId="0" fontId="0" fillId="41" borderId="233" xfId="0" applyNumberFormat="1" applyFont="1" applyFill="1" applyBorder="1" applyAlignment="1" applyProtection="1">
      <alignment horizontal="left" wrapText="1"/>
    </xf>
    <xf numFmtId="0" fontId="0" fillId="41" borderId="69" xfId="0" applyNumberFormat="1" applyFont="1" applyFill="1" applyBorder="1" applyAlignment="1" applyProtection="1">
      <alignment wrapText="1"/>
    </xf>
    <xf numFmtId="0" fontId="0" fillId="41" borderId="236" xfId="0" applyNumberFormat="1" applyFont="1" applyFill="1" applyBorder="1" applyAlignment="1" applyProtection="1">
      <alignment wrapText="1"/>
    </xf>
    <xf numFmtId="0" fontId="34" fillId="49" borderId="231" xfId="0" applyNumberFormat="1" applyFont="1" applyFill="1" applyBorder="1" applyAlignment="1" applyProtection="1">
      <alignment wrapText="1"/>
      <protection locked="0"/>
    </xf>
    <xf numFmtId="0" fontId="34" fillId="49" borderId="104" xfId="0" applyNumberFormat="1" applyFont="1" applyFill="1" applyBorder="1" applyAlignment="1" applyProtection="1">
      <alignment wrapText="1"/>
      <protection locked="0"/>
    </xf>
    <xf numFmtId="0" fontId="34" fillId="49" borderId="232" xfId="0" applyNumberFormat="1" applyFont="1" applyFill="1" applyBorder="1" applyAlignment="1" applyProtection="1">
      <alignment wrapText="1"/>
      <protection locked="0"/>
    </xf>
    <xf numFmtId="0" fontId="0" fillId="34" borderId="0" xfId="0" applyProtection="1"/>
    <xf numFmtId="0" fontId="0" fillId="34" borderId="0" xfId="0" applyBorder="1" applyAlignment="1" applyProtection="1"/>
    <xf numFmtId="0" fontId="0" fillId="37" borderId="252" xfId="0" applyFont="1" applyFill="1" applyBorder="1" applyAlignment="1" applyProtection="1">
      <alignment horizontal="center"/>
    </xf>
    <xf numFmtId="0" fontId="0" fillId="37" borderId="230" xfId="0" applyFont="1" applyFill="1" applyBorder="1" applyAlignment="1" applyProtection="1">
      <alignment horizontal="center"/>
    </xf>
    <xf numFmtId="0" fontId="0" fillId="41" borderId="73" xfId="0" applyNumberFormat="1" applyFont="1" applyFill="1" applyBorder="1" applyAlignment="1" applyProtection="1">
      <alignment wrapText="1"/>
      <protection locked="0"/>
    </xf>
    <xf numFmtId="0" fontId="0" fillId="49" borderId="73" xfId="0" applyNumberFormat="1" applyFont="1" applyFill="1" applyBorder="1" applyAlignment="1" applyProtection="1">
      <alignment wrapText="1"/>
      <protection locked="0"/>
    </xf>
    <xf numFmtId="0" fontId="0" fillId="37" borderId="36" xfId="0" applyFont="1" applyFill="1" applyBorder="1" applyAlignment="1"/>
    <xf numFmtId="0" fontId="0" fillId="37" borderId="94" xfId="0" applyFont="1" applyFill="1" applyBorder="1" applyAlignment="1"/>
    <xf numFmtId="2" fontId="43" fillId="45" borderId="188" xfId="50" applyFont="1" applyFill="1" applyBorder="1" applyAlignment="1">
      <alignment horizontal="center" vertical="center"/>
    </xf>
    <xf numFmtId="2" fontId="43" fillId="45" borderId="177" xfId="50" applyFont="1" applyFill="1" applyBorder="1" applyAlignment="1">
      <alignment horizontal="center" vertical="center"/>
    </xf>
    <xf numFmtId="0" fontId="0" fillId="41" borderId="181" xfId="0" applyFill="1" applyBorder="1" applyAlignment="1" applyProtection="1">
      <protection locked="0"/>
    </xf>
    <xf numFmtId="0" fontId="0" fillId="41" borderId="182" xfId="0" applyFill="1" applyBorder="1" applyAlignment="1" applyProtection="1">
      <protection locked="0"/>
    </xf>
    <xf numFmtId="0" fontId="0" fillId="41" borderId="183" xfId="0" applyFill="1" applyBorder="1" applyAlignment="1" applyProtection="1">
      <protection locked="0"/>
    </xf>
    <xf numFmtId="0" fontId="0" fillId="41" borderId="89" xfId="0" applyFill="1" applyBorder="1" applyAlignment="1" applyProtection="1">
      <protection locked="0"/>
    </xf>
    <xf numFmtId="49" fontId="0" fillId="41" borderId="142" xfId="0" applyNumberFormat="1" applyFill="1" applyBorder="1" applyAlignment="1" applyProtection="1">
      <protection locked="0"/>
    </xf>
    <xf numFmtId="49" fontId="0" fillId="33" borderId="184" xfId="0" applyNumberFormat="1" applyFont="1" applyFill="1" applyBorder="1" applyAlignment="1" applyProtection="1">
      <alignment horizontal="left"/>
      <protection locked="0"/>
    </xf>
    <xf numFmtId="0" fontId="25" fillId="46" borderId="46" xfId="0" applyFont="1" applyFill="1" applyBorder="1" applyAlignment="1"/>
    <xf numFmtId="0" fontId="25" fillId="46" borderId="127" xfId="0" applyFont="1" applyFill="1" applyBorder="1" applyAlignment="1"/>
    <xf numFmtId="0" fontId="25" fillId="40" borderId="87" xfId="0" applyFont="1" applyFill="1" applyBorder="1" applyAlignment="1"/>
    <xf numFmtId="0" fontId="25" fillId="40" borderId="129" xfId="0" applyFont="1" applyFill="1" applyBorder="1" applyAlignment="1"/>
    <xf numFmtId="2" fontId="43" fillId="45" borderId="189" xfId="50" applyFont="1" applyFill="1" applyBorder="1" applyAlignment="1">
      <alignment horizontal="center" vertical="center"/>
    </xf>
    <xf numFmtId="49" fontId="31" fillId="33" borderId="98" xfId="53" quotePrefix="1" applyNumberFormat="1" applyFill="1" applyBorder="1" applyAlignment="1" applyProtection="1">
      <protection locked="0"/>
    </xf>
    <xf numFmtId="49" fontId="31" fillId="33" borderId="180" xfId="53" quotePrefix="1" applyNumberFormat="1" applyFill="1" applyBorder="1" applyAlignment="1" applyProtection="1">
      <protection locked="0"/>
    </xf>
    <xf numFmtId="49" fontId="0" fillId="41" borderId="88" xfId="0" applyNumberFormat="1" applyFill="1" applyBorder="1" applyAlignment="1" applyProtection="1">
      <protection locked="0"/>
    </xf>
    <xf numFmtId="49" fontId="0" fillId="41" borderId="149" xfId="0" applyNumberFormat="1" applyFill="1" applyBorder="1" applyAlignment="1" applyProtection="1">
      <protection locked="0"/>
    </xf>
    <xf numFmtId="0" fontId="25" fillId="40" borderId="190" xfId="0" applyFont="1" applyFill="1" applyBorder="1" applyAlignment="1">
      <alignment horizontal="left"/>
    </xf>
    <xf numFmtId="0" fontId="25" fillId="40" borderId="191" xfId="0" applyFont="1" applyFill="1" applyBorder="1" applyAlignment="1">
      <alignment horizontal="left"/>
    </xf>
    <xf numFmtId="2" fontId="35" fillId="34" borderId="0" xfId="52" applyNumberFormat="1" applyBorder="1" applyAlignment="1">
      <alignment horizontal="left" vertical="top" wrapText="1"/>
    </xf>
    <xf numFmtId="0" fontId="25" fillId="40" borderId="46" xfId="0" applyFont="1" applyFill="1" applyBorder="1" applyAlignment="1">
      <alignment horizontal="left"/>
    </xf>
    <xf numFmtId="0" fontId="25" fillId="40" borderId="98" xfId="0" applyFont="1" applyFill="1" applyBorder="1" applyAlignment="1">
      <alignment horizontal="left"/>
    </xf>
    <xf numFmtId="0" fontId="25" fillId="40" borderId="47" xfId="0" applyFont="1" applyFill="1" applyBorder="1" applyAlignment="1">
      <alignment horizontal="left"/>
    </xf>
    <xf numFmtId="0" fontId="25" fillId="40" borderId="89" xfId="0" applyFont="1" applyFill="1" applyBorder="1" applyAlignment="1">
      <alignment horizontal="left"/>
    </xf>
    <xf numFmtId="0" fontId="25" fillId="40" borderId="87" xfId="0" applyFont="1" applyFill="1" applyBorder="1" applyAlignment="1">
      <alignment horizontal="left"/>
    </xf>
    <xf numFmtId="0" fontId="25" fillId="40" borderId="88" xfId="0" applyFont="1" applyFill="1" applyBorder="1" applyAlignment="1">
      <alignment horizontal="left"/>
    </xf>
    <xf numFmtId="0" fontId="27" fillId="34" borderId="0" xfId="0" applyFont="1" applyAlignment="1" applyProtection="1">
      <alignment horizontal="left"/>
    </xf>
    <xf numFmtId="0" fontId="27" fillId="34" borderId="54" xfId="0" applyFont="1" applyBorder="1" applyAlignment="1" applyProtection="1">
      <alignment horizontal="left"/>
    </xf>
    <xf numFmtId="0" fontId="0" fillId="41" borderId="118" xfId="0" applyFont="1" applyFill="1" applyBorder="1" applyAlignment="1" applyProtection="1">
      <alignment wrapText="1"/>
      <protection locked="0"/>
    </xf>
    <xf numFmtId="0" fontId="0" fillId="41" borderId="0" xfId="0" applyFont="1" applyFill="1" applyBorder="1" applyAlignment="1" applyProtection="1">
      <alignment wrapText="1"/>
      <protection locked="0"/>
    </xf>
    <xf numFmtId="0" fontId="0" fillId="41" borderId="146" xfId="0" applyFill="1" applyBorder="1" applyAlignment="1" applyProtection="1">
      <protection locked="0"/>
    </xf>
    <xf numFmtId="0" fontId="0" fillId="41" borderId="147" xfId="0" applyFill="1" applyBorder="1" applyAlignment="1" applyProtection="1">
      <protection locked="0"/>
    </xf>
    <xf numFmtId="0" fontId="25" fillId="40" borderId="187" xfId="0" applyFont="1" applyFill="1" applyBorder="1" applyAlignment="1">
      <alignment horizontal="left"/>
    </xf>
    <xf numFmtId="0" fontId="25" fillId="40" borderId="129" xfId="0" applyFont="1" applyFill="1" applyBorder="1" applyAlignment="1">
      <alignment horizontal="left"/>
    </xf>
    <xf numFmtId="0" fontId="25" fillId="40" borderId="56" xfId="0" applyFont="1" applyFill="1" applyBorder="1" applyAlignment="1"/>
    <xf numFmtId="0" fontId="25" fillId="40" borderId="168" xfId="0" applyFont="1" applyFill="1" applyBorder="1" applyAlignment="1"/>
    <xf numFmtId="2" fontId="43" fillId="45" borderId="199" xfId="50" applyFont="1" applyFill="1" applyBorder="1" applyAlignment="1">
      <alignment horizontal="center" vertical="center"/>
    </xf>
    <xf numFmtId="2" fontId="43" fillId="45" borderId="197" xfId="50" applyFont="1" applyFill="1" applyBorder="1" applyAlignment="1">
      <alignment horizontal="center" vertical="center"/>
    </xf>
    <xf numFmtId="2" fontId="43" fillId="45" borderId="200" xfId="50" applyFont="1" applyFill="1" applyBorder="1" applyAlignment="1">
      <alignment horizontal="center" vertical="center"/>
    </xf>
    <xf numFmtId="2" fontId="43" fillId="45" borderId="196" xfId="50" applyFont="1" applyFill="1" applyBorder="1" applyAlignment="1">
      <alignment horizontal="center" vertical="center"/>
    </xf>
    <xf numFmtId="2" fontId="43" fillId="45" borderId="198" xfId="50" applyFont="1" applyFill="1" applyBorder="1" applyAlignment="1">
      <alignment horizontal="center" vertical="center"/>
    </xf>
    <xf numFmtId="0" fontId="25" fillId="40" borderId="137" xfId="0" applyFont="1" applyFill="1" applyBorder="1" applyAlignment="1"/>
    <xf numFmtId="0" fontId="25" fillId="40" borderId="163" xfId="0" applyFont="1" applyFill="1" applyBorder="1" applyAlignment="1"/>
    <xf numFmtId="0" fontId="0" fillId="41" borderId="137" xfId="0" applyFill="1" applyBorder="1" applyAlignment="1" applyProtection="1">
      <alignment horizontal="left"/>
      <protection locked="0"/>
    </xf>
    <xf numFmtId="0" fontId="0" fillId="41" borderId="164" xfId="0" applyFill="1" applyBorder="1" applyAlignment="1" applyProtection="1">
      <alignment horizontal="left"/>
      <protection locked="0"/>
    </xf>
    <xf numFmtId="0" fontId="0" fillId="41" borderId="55" xfId="0" applyFill="1" applyBorder="1" applyAlignment="1" applyProtection="1">
      <alignment horizontal="left"/>
      <protection locked="0"/>
    </xf>
    <xf numFmtId="0" fontId="0" fillId="41" borderId="128" xfId="0" applyFill="1" applyBorder="1" applyAlignment="1" applyProtection="1">
      <alignment horizontal="left"/>
      <protection locked="0"/>
    </xf>
    <xf numFmtId="0" fontId="0" fillId="41" borderId="55" xfId="0" applyFont="1" applyFill="1" applyBorder="1" applyAlignment="1" applyProtection="1">
      <alignment horizontal="left" wrapText="1"/>
      <protection locked="0"/>
    </xf>
    <xf numFmtId="0" fontId="0" fillId="41" borderId="128" xfId="0" applyFont="1" applyFill="1" applyBorder="1" applyAlignment="1" applyProtection="1">
      <alignment horizontal="left" wrapText="1"/>
      <protection locked="0"/>
    </xf>
    <xf numFmtId="49" fontId="0" fillId="41" borderId="161" xfId="0" applyNumberFormat="1" applyFill="1" applyBorder="1" applyAlignment="1" applyProtection="1">
      <protection locked="0"/>
    </xf>
    <xf numFmtId="49" fontId="0" fillId="41" borderId="162" xfId="0" applyNumberFormat="1" applyFill="1" applyBorder="1" applyAlignment="1" applyProtection="1">
      <protection locked="0"/>
    </xf>
    <xf numFmtId="49" fontId="0" fillId="41" borderId="143" xfId="0" applyNumberFormat="1" applyFill="1" applyBorder="1" applyAlignment="1" applyProtection="1">
      <protection locked="0"/>
    </xf>
    <xf numFmtId="49" fontId="0" fillId="41" borderId="144" xfId="0" applyNumberFormat="1" applyFill="1" applyBorder="1" applyAlignment="1" applyProtection="1">
      <protection locked="0"/>
    </xf>
    <xf numFmtId="0" fontId="0" fillId="41" borderId="145" xfId="0" applyFill="1" applyBorder="1" applyAlignment="1" applyProtection="1">
      <protection locked="0"/>
    </xf>
    <xf numFmtId="49" fontId="31" fillId="41" borderId="166" xfId="53" applyNumberFormat="1" applyFill="1" applyBorder="1" applyAlignment="1" applyProtection="1">
      <protection locked="0"/>
    </xf>
    <xf numFmtId="49" fontId="31" fillId="41" borderId="165" xfId="53" applyNumberFormat="1" applyFill="1" applyBorder="1" applyAlignment="1" applyProtection="1">
      <protection locked="0"/>
    </xf>
    <xf numFmtId="49" fontId="31" fillId="41" borderId="167" xfId="53" applyNumberFormat="1" applyFill="1" applyBorder="1" applyAlignment="1" applyProtection="1">
      <protection locked="0"/>
    </xf>
    <xf numFmtId="49" fontId="0" fillId="41" borderId="150" xfId="0" applyNumberFormat="1" applyFill="1" applyBorder="1" applyAlignment="1" applyProtection="1">
      <protection locked="0"/>
    </xf>
    <xf numFmtId="49" fontId="0" fillId="41" borderId="146" xfId="0" applyNumberFormat="1" applyFill="1" applyBorder="1" applyAlignment="1" applyProtection="1">
      <protection locked="0"/>
    </xf>
    <xf numFmtId="49" fontId="0" fillId="41" borderId="147" xfId="0" applyNumberFormat="1" applyFill="1" applyBorder="1" applyAlignment="1" applyProtection="1">
      <protection locked="0"/>
    </xf>
    <xf numFmtId="0" fontId="0" fillId="41" borderId="110" xfId="0" applyFont="1" applyFill="1" applyBorder="1" applyAlignment="1" applyProtection="1">
      <alignment horizontal="left" vertical="top" wrapText="1"/>
      <protection locked="0"/>
    </xf>
    <xf numFmtId="0" fontId="0" fillId="41" borderId="111" xfId="0" applyFont="1" applyFill="1" applyBorder="1" applyAlignment="1" applyProtection="1">
      <alignment horizontal="left" vertical="top" wrapText="1"/>
      <protection locked="0"/>
    </xf>
    <xf numFmtId="0" fontId="0" fillId="41" borderId="112" xfId="0" applyFont="1" applyFill="1" applyBorder="1" applyAlignment="1" applyProtection="1">
      <alignment horizontal="left" vertical="top" wrapText="1"/>
      <protection locked="0"/>
    </xf>
    <xf numFmtId="0" fontId="0" fillId="41" borderId="19" xfId="0" applyFont="1" applyFill="1" applyBorder="1" applyAlignment="1" applyProtection="1">
      <alignment horizontal="left" vertical="top" wrapText="1"/>
      <protection locked="0"/>
    </xf>
    <xf numFmtId="0" fontId="0" fillId="41" borderId="0" xfId="0" applyFont="1" applyFill="1" applyBorder="1" applyAlignment="1" applyProtection="1">
      <alignment horizontal="left" vertical="top" wrapText="1"/>
      <protection locked="0"/>
    </xf>
    <xf numFmtId="0" fontId="0" fillId="41" borderId="20" xfId="0" applyFont="1" applyFill="1" applyBorder="1" applyAlignment="1" applyProtection="1">
      <alignment horizontal="left" vertical="top" wrapText="1"/>
      <protection locked="0"/>
    </xf>
    <xf numFmtId="0" fontId="0" fillId="41" borderId="32" xfId="0" applyFont="1" applyFill="1" applyBorder="1" applyAlignment="1" applyProtection="1">
      <alignment horizontal="left" vertical="top" wrapText="1"/>
      <protection locked="0"/>
    </xf>
    <xf numFmtId="0" fontId="0" fillId="41" borderId="54" xfId="0" applyFont="1" applyFill="1" applyBorder="1" applyAlignment="1" applyProtection="1">
      <alignment horizontal="left" vertical="top" wrapText="1"/>
      <protection locked="0"/>
    </xf>
    <xf numFmtId="0" fontId="0" fillId="41" borderId="51" xfId="0" applyFont="1" applyFill="1" applyBorder="1" applyAlignment="1" applyProtection="1">
      <alignment horizontal="left" vertical="top" wrapText="1"/>
      <protection locked="0"/>
    </xf>
    <xf numFmtId="0" fontId="25" fillId="40" borderId="74" xfId="0" applyFont="1" applyFill="1" applyBorder="1" applyAlignment="1">
      <alignment horizontal="left"/>
    </xf>
    <xf numFmtId="0" fontId="25" fillId="40" borderId="34" xfId="0" applyFont="1" applyFill="1" applyBorder="1" applyAlignment="1">
      <alignment horizontal="left" vertical="center"/>
    </xf>
    <xf numFmtId="0" fontId="25" fillId="40" borderId="50" xfId="0" applyFont="1" applyFill="1" applyBorder="1" applyAlignment="1">
      <alignment horizontal="left" vertical="center"/>
    </xf>
    <xf numFmtId="0" fontId="25" fillId="40" borderId="170" xfId="0" applyFont="1" applyFill="1" applyBorder="1" applyAlignment="1">
      <alignment horizontal="left" vertical="center"/>
    </xf>
    <xf numFmtId="0" fontId="25" fillId="40" borderId="75" xfId="0" applyFont="1" applyFill="1" applyBorder="1" applyAlignment="1">
      <alignment horizontal="left" vertical="center"/>
    </xf>
    <xf numFmtId="0" fontId="25" fillId="40" borderId="74" xfId="0" applyFont="1" applyFill="1" applyBorder="1" applyAlignment="1">
      <alignment horizontal="left" vertical="center"/>
    </xf>
    <xf numFmtId="0" fontId="25" fillId="40" borderId="76" xfId="0" applyFont="1" applyFill="1" applyBorder="1" applyAlignment="1">
      <alignment horizontal="left" vertical="center"/>
    </xf>
    <xf numFmtId="0" fontId="0" fillId="41" borderId="53" xfId="0" applyFont="1" applyFill="1" applyBorder="1" applyAlignment="1" applyProtection="1">
      <alignment horizontal="left"/>
      <protection locked="0"/>
    </xf>
    <xf numFmtId="0" fontId="0" fillId="41" borderId="69" xfId="0" applyFont="1" applyFill="1" applyBorder="1" applyAlignment="1" applyProtection="1">
      <alignment horizontal="left"/>
      <protection locked="0"/>
    </xf>
    <xf numFmtId="0" fontId="0" fillId="41" borderId="94" xfId="0" applyFont="1" applyFill="1" applyBorder="1" applyAlignment="1" applyProtection="1">
      <alignment horizontal="left"/>
      <protection locked="0"/>
    </xf>
    <xf numFmtId="0" fontId="25" fillId="40" borderId="34" xfId="0" applyFont="1" applyFill="1" applyBorder="1" applyAlignment="1">
      <alignment horizontal="left" vertical="top"/>
    </xf>
    <xf numFmtId="0" fontId="25" fillId="40" borderId="50" xfId="0" applyFont="1" applyFill="1" applyBorder="1" applyAlignment="1">
      <alignment horizontal="left" vertical="top"/>
    </xf>
    <xf numFmtId="0" fontId="25" fillId="40" borderId="103" xfId="0" applyFont="1" applyFill="1" applyBorder="1" applyAlignment="1">
      <alignment horizontal="left" vertical="top"/>
    </xf>
    <xf numFmtId="169" fontId="0" fillId="41" borderId="91" xfId="0" applyNumberFormat="1" applyFont="1" applyFill="1" applyBorder="1" applyAlignment="1" applyProtection="1">
      <alignment horizontal="left"/>
      <protection locked="0"/>
    </xf>
    <xf numFmtId="169" fontId="0" fillId="41" borderId="74" xfId="0" applyNumberFormat="1" applyFont="1" applyFill="1" applyBorder="1" applyAlignment="1" applyProtection="1">
      <alignment horizontal="left"/>
      <protection locked="0"/>
    </xf>
    <xf numFmtId="169" fontId="0" fillId="41" borderId="92" xfId="0" applyNumberFormat="1" applyFont="1" applyFill="1" applyBorder="1" applyAlignment="1" applyProtection="1">
      <alignment horizontal="left"/>
      <protection locked="0"/>
    </xf>
    <xf numFmtId="0" fontId="25" fillId="40" borderId="77" xfId="0" applyFont="1" applyFill="1" applyBorder="1" applyAlignment="1">
      <alignment horizontal="left"/>
    </xf>
    <xf numFmtId="0" fontId="25" fillId="40" borderId="104" xfId="0" applyFont="1" applyFill="1" applyBorder="1" applyAlignment="1">
      <alignment horizontal="left"/>
    </xf>
    <xf numFmtId="0" fontId="25" fillId="40" borderId="78" xfId="0" applyFont="1" applyFill="1" applyBorder="1" applyAlignment="1">
      <alignment horizontal="left"/>
    </xf>
    <xf numFmtId="0" fontId="25" fillId="40" borderId="100" xfId="0" applyFont="1" applyFill="1" applyBorder="1" applyAlignment="1">
      <alignment horizontal="left"/>
    </xf>
    <xf numFmtId="0" fontId="25" fillId="40" borderId="102" xfId="0" applyFont="1" applyFill="1" applyBorder="1" applyAlignment="1">
      <alignment horizontal="left"/>
    </xf>
    <xf numFmtId="0" fontId="25" fillId="40" borderId="101" xfId="0" applyFont="1" applyFill="1" applyBorder="1" applyAlignment="1">
      <alignment horizontal="left"/>
    </xf>
    <xf numFmtId="49" fontId="0" fillId="41" borderId="80" xfId="0" applyNumberFormat="1" applyFont="1" applyFill="1" applyBorder="1" applyAlignment="1" applyProtection="1">
      <alignment horizontal="left"/>
      <protection locked="0"/>
    </xf>
    <xf numFmtId="49" fontId="0" fillId="41" borderId="104" xfId="0" applyNumberFormat="1" applyFont="1" applyFill="1" applyBorder="1" applyAlignment="1" applyProtection="1">
      <alignment horizontal="left"/>
      <protection locked="0"/>
    </xf>
    <xf numFmtId="49" fontId="0" fillId="41" borderId="93" xfId="0" applyNumberFormat="1" applyFont="1" applyFill="1" applyBorder="1" applyAlignment="1" applyProtection="1">
      <alignment horizontal="left"/>
      <protection locked="0"/>
    </xf>
    <xf numFmtId="49" fontId="0" fillId="41" borderId="91" xfId="0" applyNumberFormat="1" applyFont="1" applyFill="1" applyBorder="1" applyAlignment="1" applyProtection="1">
      <alignment horizontal="left"/>
      <protection locked="0"/>
    </xf>
    <xf numFmtId="49" fontId="0" fillId="41" borderId="74" xfId="0" applyNumberFormat="1" applyFont="1" applyFill="1" applyBorder="1" applyAlignment="1" applyProtection="1">
      <alignment horizontal="left"/>
      <protection locked="0"/>
    </xf>
    <xf numFmtId="49" fontId="0" fillId="41" borderId="92" xfId="0" applyNumberFormat="1" applyFont="1" applyFill="1" applyBorder="1" applyAlignment="1" applyProtection="1">
      <alignment horizontal="left"/>
      <protection locked="0"/>
    </xf>
    <xf numFmtId="49" fontId="0" fillId="41" borderId="53" xfId="0" applyNumberFormat="1" applyFont="1" applyFill="1" applyBorder="1" applyAlignment="1" applyProtection="1">
      <alignment horizontal="left"/>
      <protection locked="0"/>
    </xf>
    <xf numFmtId="49" fontId="0" fillId="41" borderId="69" xfId="0" applyNumberFormat="1" applyFont="1" applyFill="1" applyBorder="1" applyAlignment="1" applyProtection="1">
      <alignment horizontal="left"/>
      <protection locked="0"/>
    </xf>
    <xf numFmtId="49" fontId="0" fillId="41" borderId="94" xfId="0" applyNumberFormat="1" applyFont="1" applyFill="1" applyBorder="1" applyAlignment="1" applyProtection="1">
      <alignment horizontal="left"/>
      <protection locked="0"/>
    </xf>
    <xf numFmtId="2" fontId="38" fillId="42" borderId="17" xfId="50" applyBorder="1">
      <alignment horizontal="left" vertical="center" indent="1"/>
    </xf>
    <xf numFmtId="2" fontId="38" fillId="42" borderId="52" xfId="50" applyBorder="1">
      <alignment horizontal="left" vertical="center" indent="1"/>
    </xf>
    <xf numFmtId="0" fontId="0" fillId="41" borderId="19" xfId="0" applyNumberFormat="1" applyFont="1" applyFill="1" applyBorder="1" applyAlignment="1" applyProtection="1">
      <alignment horizontal="left" vertical="top" wrapText="1"/>
      <protection locked="0"/>
    </xf>
    <xf numFmtId="0" fontId="0" fillId="41" borderId="0" xfId="0" applyNumberFormat="1" applyFont="1" applyFill="1" applyBorder="1" applyAlignment="1" applyProtection="1">
      <alignment horizontal="left" vertical="top" wrapText="1"/>
      <protection locked="0"/>
    </xf>
    <xf numFmtId="0" fontId="0" fillId="41" borderId="20" xfId="0" applyNumberFormat="1" applyFont="1" applyFill="1" applyBorder="1" applyAlignment="1" applyProtection="1">
      <alignment horizontal="left" vertical="top" wrapText="1"/>
      <protection locked="0"/>
    </xf>
    <xf numFmtId="0" fontId="0" fillId="41" borderId="32" xfId="0" applyNumberFormat="1" applyFont="1" applyFill="1" applyBorder="1" applyAlignment="1" applyProtection="1">
      <alignment horizontal="left" vertical="top" wrapText="1"/>
      <protection locked="0"/>
    </xf>
    <xf numFmtId="0" fontId="0" fillId="41" borderId="54" xfId="0" applyNumberFormat="1" applyFont="1" applyFill="1" applyBorder="1" applyAlignment="1" applyProtection="1">
      <alignment horizontal="left" vertical="top" wrapText="1"/>
      <protection locked="0"/>
    </xf>
    <xf numFmtId="0" fontId="0" fillId="41" borderId="51" xfId="0" applyNumberFormat="1" applyFont="1" applyFill="1" applyBorder="1" applyAlignment="1" applyProtection="1">
      <alignment horizontal="left" vertical="top" wrapText="1"/>
      <protection locked="0"/>
    </xf>
    <xf numFmtId="0" fontId="0" fillId="41" borderId="80" xfId="0" applyFont="1" applyFill="1" applyBorder="1" applyAlignment="1" applyProtection="1">
      <alignment horizontal="left"/>
      <protection locked="0"/>
    </xf>
    <xf numFmtId="0" fontId="0" fillId="41" borderId="104" xfId="0" applyFont="1" applyFill="1" applyBorder="1" applyAlignment="1" applyProtection="1">
      <alignment horizontal="left"/>
      <protection locked="0"/>
    </xf>
    <xf numFmtId="0" fontId="0" fillId="41" borderId="93" xfId="0" applyFont="1" applyFill="1" applyBorder="1" applyAlignment="1" applyProtection="1">
      <alignment horizontal="left"/>
      <protection locked="0"/>
    </xf>
    <xf numFmtId="0" fontId="31" fillId="41" borderId="53" xfId="53" applyFill="1" applyBorder="1" applyAlignment="1" applyProtection="1">
      <alignment horizontal="left"/>
      <protection locked="0"/>
    </xf>
    <xf numFmtId="0" fontId="0" fillId="0" borderId="53" xfId="0" applyNumberFormat="1" applyFont="1" applyFill="1" applyBorder="1" applyAlignment="1" applyProtection="1">
      <alignment horizontal="left"/>
      <protection locked="0"/>
    </xf>
    <xf numFmtId="0" fontId="0" fillId="0" borderId="69" xfId="0" applyNumberFormat="1" applyFont="1" applyFill="1" applyBorder="1" applyAlignment="1" applyProtection="1">
      <alignment horizontal="left"/>
      <protection locked="0"/>
    </xf>
    <xf numFmtId="0" fontId="0" fillId="0" borderId="266" xfId="0" applyNumberFormat="1" applyFont="1" applyFill="1" applyBorder="1" applyAlignment="1" applyProtection="1">
      <alignment horizontal="left"/>
      <protection locked="0"/>
    </xf>
    <xf numFmtId="0" fontId="0" fillId="41" borderId="91" xfId="0" applyFont="1" applyFill="1" applyBorder="1" applyAlignment="1" applyProtection="1">
      <alignment horizontal="left"/>
      <protection locked="0"/>
    </xf>
    <xf numFmtId="0" fontId="0" fillId="41" borderId="74" xfId="0" applyFont="1" applyFill="1" applyBorder="1" applyAlignment="1" applyProtection="1">
      <alignment horizontal="left"/>
      <protection locked="0"/>
    </xf>
    <xf numFmtId="0" fontId="0" fillId="41" borderId="92" xfId="0" applyFont="1" applyFill="1" applyBorder="1" applyAlignment="1" applyProtection="1">
      <alignment horizontal="left"/>
      <protection locked="0"/>
    </xf>
    <xf numFmtId="0" fontId="0" fillId="37" borderId="80" xfId="0" applyFont="1" applyFill="1" applyBorder="1" applyAlignment="1">
      <alignment horizontal="left" vertical="top"/>
    </xf>
    <xf numFmtId="0" fontId="0" fillId="37" borderId="104" xfId="0" applyFont="1" applyFill="1" applyBorder="1" applyAlignment="1">
      <alignment horizontal="left" vertical="top"/>
    </xf>
    <xf numFmtId="0" fontId="0" fillId="37" borderId="119" xfId="0" applyFont="1" applyFill="1" applyBorder="1" applyAlignment="1">
      <alignment horizontal="left" vertical="top"/>
    </xf>
    <xf numFmtId="0" fontId="25" fillId="40" borderId="75" xfId="0" applyFont="1" applyFill="1" applyBorder="1" applyAlignment="1"/>
    <xf numFmtId="0" fontId="25" fillId="40" borderId="74" xfId="0" applyFont="1" applyFill="1" applyBorder="1" applyAlignment="1"/>
    <xf numFmtId="0" fontId="25" fillId="40" borderId="76" xfId="0" applyFont="1" applyFill="1" applyBorder="1" applyAlignment="1"/>
    <xf numFmtId="0" fontId="25" fillId="40" borderId="77" xfId="0" applyFont="1" applyFill="1" applyBorder="1" applyAlignment="1"/>
    <xf numFmtId="0" fontId="25" fillId="40" borderId="104" xfId="0" applyFont="1" applyFill="1" applyBorder="1" applyAlignment="1"/>
    <xf numFmtId="0" fontId="25" fillId="40" borderId="78" xfId="0" applyFont="1" applyFill="1" applyBorder="1" applyAlignment="1"/>
    <xf numFmtId="0" fontId="25" fillId="40" borderId="77" xfId="0" applyFont="1" applyFill="1" applyBorder="1" applyAlignment="1">
      <alignment horizontal="left" vertical="top"/>
    </xf>
    <xf numFmtId="0" fontId="25" fillId="40" borderId="104" xfId="0" applyFont="1" applyFill="1" applyBorder="1" applyAlignment="1">
      <alignment horizontal="left" vertical="top"/>
    </xf>
    <xf numFmtId="0" fontId="25" fillId="40" borderId="78" xfId="0" applyFont="1" applyFill="1" applyBorder="1" applyAlignment="1">
      <alignment horizontal="left" vertical="top"/>
    </xf>
    <xf numFmtId="0" fontId="25" fillId="40" borderId="36" xfId="0" applyFont="1" applyFill="1" applyBorder="1" applyAlignment="1"/>
    <xf numFmtId="0" fontId="25" fillId="40" borderId="69" xfId="0" applyFont="1" applyFill="1" applyBorder="1" applyAlignment="1"/>
    <xf numFmtId="0" fontId="25" fillId="40" borderId="79" xfId="0" applyFont="1" applyFill="1" applyBorder="1" applyAlignment="1"/>
    <xf numFmtId="49" fontId="0" fillId="0" borderId="212" xfId="0" applyNumberFormat="1" applyFill="1" applyBorder="1" applyAlignment="1" applyProtection="1">
      <alignment horizontal="center" wrapText="1"/>
      <protection locked="0"/>
    </xf>
    <xf numFmtId="49" fontId="0" fillId="0" borderId="158" xfId="0" applyNumberFormat="1" applyFill="1" applyBorder="1" applyAlignment="1" applyProtection="1">
      <alignment horizontal="center" wrapText="1"/>
      <protection locked="0"/>
    </xf>
    <xf numFmtId="49" fontId="0" fillId="0" borderId="263" xfId="0" applyNumberFormat="1" applyFill="1" applyBorder="1" applyAlignment="1" applyProtection="1">
      <alignment horizontal="center" wrapText="1"/>
      <protection locked="0"/>
    </xf>
    <xf numFmtId="49" fontId="0" fillId="0" borderId="213" xfId="0" applyNumberFormat="1" applyFill="1" applyBorder="1" applyAlignment="1" applyProtection="1">
      <alignment horizontal="center" wrapText="1"/>
      <protection locked="0"/>
    </xf>
    <xf numFmtId="49" fontId="0" fillId="0" borderId="159" xfId="0" applyNumberFormat="1" applyFill="1" applyBorder="1" applyAlignment="1" applyProtection="1">
      <alignment horizontal="center" wrapText="1"/>
      <protection locked="0"/>
    </xf>
    <xf numFmtId="49" fontId="0" fillId="0" borderId="267" xfId="0" applyNumberFormat="1" applyFill="1" applyBorder="1" applyAlignment="1" applyProtection="1">
      <alignment horizontal="center" wrapText="1"/>
      <protection locked="0"/>
    </xf>
    <xf numFmtId="0" fontId="37" fillId="40" borderId="205" xfId="0" applyFont="1" applyFill="1" applyBorder="1" applyAlignment="1">
      <alignment horizontal="center" vertical="center" wrapText="1"/>
    </xf>
    <xf numFmtId="0" fontId="37" fillId="40" borderId="157" xfId="0" applyFont="1" applyFill="1" applyBorder="1" applyAlignment="1">
      <alignment horizontal="center" vertical="center" wrapText="1"/>
    </xf>
    <xf numFmtId="0" fontId="37" fillId="40" borderId="207" xfId="0" applyFont="1" applyFill="1" applyBorder="1" applyAlignment="1">
      <alignment horizontal="center" vertical="center" wrapText="1"/>
    </xf>
    <xf numFmtId="1" fontId="0" fillId="33" borderId="95" xfId="0" applyNumberFormat="1" applyFont="1" applyFill="1" applyBorder="1" applyAlignment="1" applyProtection="1">
      <alignment horizontal="left"/>
      <protection locked="0"/>
    </xf>
    <xf numFmtId="0" fontId="0" fillId="41" borderId="116" xfId="0" applyNumberFormat="1" applyFont="1" applyFill="1" applyBorder="1" applyAlignment="1" applyProtection="1">
      <alignment horizontal="center"/>
      <protection locked="0"/>
    </xf>
    <xf numFmtId="0" fontId="0" fillId="40" borderId="95" xfId="0" applyNumberFormat="1" applyFont="1" applyFill="1" applyBorder="1" applyAlignment="1" applyProtection="1">
      <alignment horizontal="left"/>
      <protection locked="0"/>
    </xf>
    <xf numFmtId="0" fontId="0" fillId="40" borderId="114" xfId="0" applyNumberFormat="1" applyFont="1" applyFill="1" applyBorder="1" applyAlignment="1" applyProtection="1">
      <alignment horizontal="left"/>
      <protection locked="0"/>
    </xf>
    <xf numFmtId="1" fontId="0" fillId="33" borderId="113" xfId="0" applyNumberFormat="1" applyFont="1" applyFill="1" applyBorder="1" applyAlignment="1" applyProtection="1">
      <alignment horizontal="left"/>
      <protection locked="0"/>
    </xf>
    <xf numFmtId="0" fontId="0" fillId="40" borderId="73" xfId="0" applyNumberFormat="1" applyFill="1" applyBorder="1" applyAlignment="1" applyProtection="1">
      <alignment horizontal="left" wrapText="1"/>
      <protection locked="0"/>
    </xf>
    <xf numFmtId="0" fontId="0" fillId="40" borderId="104" xfId="0" applyNumberFormat="1" applyFill="1" applyBorder="1" applyAlignment="1" applyProtection="1">
      <alignment horizontal="left" wrapText="1"/>
      <protection locked="0"/>
    </xf>
    <xf numFmtId="0" fontId="0" fillId="40" borderId="93" xfId="0" applyNumberFormat="1" applyFill="1" applyBorder="1" applyAlignment="1" applyProtection="1">
      <alignment horizontal="left" wrapText="1"/>
      <protection locked="0"/>
    </xf>
    <xf numFmtId="0" fontId="37" fillId="40" borderId="74" xfId="0" applyFont="1" applyFill="1" applyBorder="1" applyAlignment="1">
      <alignment horizontal="center" vertical="center" wrapText="1"/>
    </xf>
    <xf numFmtId="0" fontId="37" fillId="40" borderId="92" xfId="0" applyFont="1" applyFill="1" applyBorder="1" applyAlignment="1">
      <alignment horizontal="center" vertical="center" wrapText="1"/>
    </xf>
    <xf numFmtId="0" fontId="0" fillId="40" borderId="97" xfId="0" applyNumberFormat="1" applyFont="1" applyFill="1" applyBorder="1" applyAlignment="1" applyProtection="1">
      <alignment horizontal="left"/>
      <protection locked="0"/>
    </xf>
    <xf numFmtId="0" fontId="0" fillId="40" borderId="30" xfId="0" applyNumberFormat="1" applyFont="1" applyFill="1" applyBorder="1" applyAlignment="1" applyProtection="1">
      <alignment horizontal="left"/>
      <protection locked="0"/>
    </xf>
    <xf numFmtId="0" fontId="37" fillId="40" borderId="202" xfId="0" applyFont="1" applyFill="1" applyBorder="1" applyAlignment="1">
      <alignment horizontal="center" vertical="center" wrapText="1"/>
    </xf>
    <xf numFmtId="0" fontId="37" fillId="40" borderId="206" xfId="0" applyFont="1" applyFill="1" applyBorder="1" applyAlignment="1">
      <alignment horizontal="center" vertical="center" wrapText="1"/>
    </xf>
    <xf numFmtId="2" fontId="41" fillId="38" borderId="0" xfId="49" applyFont="1" applyFill="1" applyBorder="1" applyAlignment="1" applyProtection="1">
      <alignment horizontal="center" vertical="center" wrapText="1"/>
    </xf>
    <xf numFmtId="169" fontId="0" fillId="41" borderId="80" xfId="0" applyNumberFormat="1" applyFont="1" applyFill="1" applyBorder="1" applyAlignment="1" applyProtection="1">
      <alignment horizontal="left"/>
      <protection locked="0"/>
    </xf>
    <xf numFmtId="169" fontId="0" fillId="41" borderId="104" xfId="0" applyNumberFormat="1" applyFont="1" applyFill="1" applyBorder="1" applyAlignment="1" applyProtection="1">
      <alignment horizontal="left"/>
      <protection locked="0"/>
    </xf>
    <xf numFmtId="169" fontId="0" fillId="41" borderId="119" xfId="0" applyNumberFormat="1" applyFont="1" applyFill="1" applyBorder="1" applyAlignment="1" applyProtection="1">
      <alignment horizontal="left"/>
      <protection locked="0"/>
    </xf>
    <xf numFmtId="49" fontId="0" fillId="41" borderId="118" xfId="0" applyNumberFormat="1" applyFont="1" applyFill="1" applyBorder="1" applyAlignment="1" applyProtection="1">
      <alignment horizontal="left"/>
      <protection locked="0"/>
    </xf>
    <xf numFmtId="49" fontId="0" fillId="41" borderId="0" xfId="0" applyNumberFormat="1" applyFont="1" applyFill="1" applyBorder="1" applyAlignment="1" applyProtection="1">
      <alignment horizontal="left"/>
      <protection locked="0"/>
    </xf>
    <xf numFmtId="49" fontId="0" fillId="41" borderId="20" xfId="0" applyNumberFormat="1" applyFont="1" applyFill="1" applyBorder="1" applyAlignment="1" applyProtection="1">
      <alignment horizontal="left"/>
      <protection locked="0"/>
    </xf>
    <xf numFmtId="0" fontId="25" fillId="40" borderId="0" xfId="0" applyFont="1" applyFill="1" applyBorder="1" applyAlignment="1">
      <alignment horizontal="left"/>
    </xf>
    <xf numFmtId="0" fontId="25" fillId="40" borderId="20" xfId="0" applyFont="1" applyFill="1" applyBorder="1" applyAlignment="1">
      <alignment horizontal="left"/>
    </xf>
    <xf numFmtId="0" fontId="0" fillId="37" borderId="110" xfId="48" applyFont="1" applyFill="1" applyBorder="1" applyAlignment="1" applyProtection="1">
      <alignment horizontal="left" vertical="top" wrapText="1"/>
      <protection locked="0"/>
    </xf>
    <xf numFmtId="0" fontId="0" fillId="37" borderId="111" xfId="48" applyFont="1" applyFill="1" applyBorder="1" applyAlignment="1" applyProtection="1">
      <alignment horizontal="left" vertical="top" wrapText="1"/>
      <protection locked="0"/>
    </xf>
    <xf numFmtId="0" fontId="0" fillId="37" borderId="112" xfId="48" applyFont="1" applyFill="1" applyBorder="1" applyAlignment="1" applyProtection="1">
      <alignment horizontal="left" vertical="top" wrapText="1"/>
      <protection locked="0"/>
    </xf>
    <xf numFmtId="0" fontId="0" fillId="37" borderId="19" xfId="48" applyFont="1" applyFill="1" applyBorder="1" applyAlignment="1" applyProtection="1">
      <alignment horizontal="left" vertical="top" wrapText="1"/>
      <protection locked="0"/>
    </xf>
    <xf numFmtId="0" fontId="0" fillId="37" borderId="0" xfId="48" applyFont="1" applyFill="1" applyBorder="1" applyAlignment="1" applyProtection="1">
      <alignment horizontal="left" vertical="top" wrapText="1"/>
      <protection locked="0"/>
    </xf>
    <xf numFmtId="0" fontId="0" fillId="37" borderId="20" xfId="48" applyFont="1" applyFill="1" applyBorder="1" applyAlignment="1" applyProtection="1">
      <alignment horizontal="left" vertical="top" wrapText="1"/>
      <protection locked="0"/>
    </xf>
    <xf numFmtId="0" fontId="0" fillId="37" borderId="32" xfId="48" applyFont="1" applyFill="1" applyBorder="1" applyAlignment="1" applyProtection="1">
      <alignment horizontal="left" vertical="top" wrapText="1"/>
      <protection locked="0"/>
    </xf>
    <xf numFmtId="0" fontId="0" fillId="37" borderId="54" xfId="48" applyFont="1" applyFill="1" applyBorder="1" applyAlignment="1" applyProtection="1">
      <alignment horizontal="left" vertical="top" wrapText="1"/>
      <protection locked="0"/>
    </xf>
    <xf numFmtId="0" fontId="0" fillId="37" borderId="51" xfId="48" applyFont="1" applyFill="1" applyBorder="1" applyAlignment="1" applyProtection="1">
      <alignment horizontal="left" vertical="top" wrapText="1"/>
      <protection locked="0"/>
    </xf>
    <xf numFmtId="0" fontId="0" fillId="34" borderId="52" xfId="0" applyBorder="1" applyAlignment="1" applyProtection="1">
      <alignment horizontal="center"/>
    </xf>
    <xf numFmtId="0" fontId="0" fillId="34" borderId="0" xfId="0" applyAlignment="1" applyProtection="1">
      <alignment horizontal="center"/>
    </xf>
    <xf numFmtId="49" fontId="0" fillId="41" borderId="80" xfId="0" applyNumberFormat="1" applyFont="1" applyFill="1" applyBorder="1" applyAlignment="1" applyProtection="1">
      <alignment horizontal="left" vertical="top" wrapText="1"/>
      <protection locked="0"/>
    </xf>
    <xf numFmtId="49" fontId="0" fillId="41" borderId="104" xfId="0" applyNumberFormat="1" applyFont="1" applyFill="1" applyBorder="1" applyAlignment="1" applyProtection="1">
      <alignment horizontal="left" vertical="top" wrapText="1"/>
      <protection locked="0"/>
    </xf>
    <xf numFmtId="49" fontId="0" fillId="41" borderId="93" xfId="0" applyNumberFormat="1" applyFont="1" applyFill="1" applyBorder="1" applyAlignment="1" applyProtection="1">
      <alignment horizontal="left" vertical="top" wrapText="1"/>
      <protection locked="0"/>
    </xf>
    <xf numFmtId="0" fontId="37" fillId="40" borderId="204" xfId="0" applyFont="1" applyFill="1" applyBorder="1" applyAlignment="1">
      <alignment horizontal="center" vertical="center" wrapText="1"/>
    </xf>
    <xf numFmtId="0" fontId="25" fillId="46" borderId="77" xfId="0" applyFont="1" applyFill="1" applyBorder="1" applyAlignment="1"/>
    <xf numFmtId="0" fontId="25" fillId="46" borderId="104" xfId="0" applyFont="1" applyFill="1" applyBorder="1" applyAlignment="1"/>
    <xf numFmtId="0" fontId="25" fillId="46" borderId="78" xfId="0" applyFont="1" applyFill="1" applyBorder="1" applyAlignment="1"/>
    <xf numFmtId="0" fontId="0" fillId="41" borderId="95" xfId="0" applyNumberFormat="1" applyFont="1" applyFill="1" applyBorder="1" applyAlignment="1" applyProtection="1">
      <alignment horizontal="center"/>
      <protection locked="0"/>
    </xf>
    <xf numFmtId="0" fontId="0" fillId="41" borderId="73" xfId="0" applyNumberFormat="1" applyFont="1" applyFill="1" applyBorder="1" applyAlignment="1" applyProtection="1">
      <alignment horizontal="center"/>
      <protection locked="0"/>
    </xf>
    <xf numFmtId="0" fontId="0" fillId="41" borderId="97" xfId="0" applyNumberFormat="1" applyFont="1" applyFill="1" applyBorder="1" applyAlignment="1" applyProtection="1">
      <alignment horizontal="center"/>
      <protection locked="0"/>
    </xf>
    <xf numFmtId="0" fontId="0" fillId="41" borderId="39" xfId="0" applyNumberFormat="1" applyFont="1" applyFill="1" applyBorder="1" applyAlignment="1" applyProtection="1">
      <alignment horizontal="center"/>
      <protection locked="0"/>
    </xf>
    <xf numFmtId="0" fontId="0" fillId="41" borderId="95" xfId="0" applyNumberFormat="1" applyFill="1" applyBorder="1" applyAlignment="1" applyProtection="1">
      <alignment horizontal="center" wrapText="1"/>
      <protection locked="0"/>
    </xf>
    <xf numFmtId="0" fontId="0" fillId="41" borderId="97" xfId="0" applyNumberFormat="1" applyFill="1" applyBorder="1" applyAlignment="1" applyProtection="1">
      <alignment horizontal="center" wrapText="1"/>
      <protection locked="0"/>
    </xf>
    <xf numFmtId="0" fontId="0" fillId="40" borderId="73" xfId="0" applyNumberFormat="1" applyFont="1" applyFill="1" applyBorder="1" applyAlignment="1" applyProtection="1">
      <alignment horizontal="left"/>
      <protection locked="0"/>
    </xf>
    <xf numFmtId="0" fontId="0" fillId="40" borderId="104" xfId="0" applyNumberFormat="1" applyFont="1" applyFill="1" applyBorder="1" applyAlignment="1" applyProtection="1">
      <alignment horizontal="left"/>
      <protection locked="0"/>
    </xf>
    <xf numFmtId="0" fontId="0" fillId="40" borderId="93" xfId="0" applyNumberFormat="1" applyFont="1" applyFill="1" applyBorder="1" applyAlignment="1" applyProtection="1">
      <alignment horizontal="left"/>
      <protection locked="0"/>
    </xf>
    <xf numFmtId="0" fontId="0" fillId="40" borderId="39" xfId="0" applyNumberFormat="1" applyFill="1" applyBorder="1" applyAlignment="1" applyProtection="1">
      <alignment horizontal="left" wrapText="1"/>
      <protection locked="0"/>
    </xf>
    <xf numFmtId="0" fontId="0" fillId="40" borderId="69" xfId="0" applyNumberFormat="1" applyFill="1" applyBorder="1" applyAlignment="1" applyProtection="1">
      <alignment horizontal="left" wrapText="1"/>
      <protection locked="0"/>
    </xf>
    <xf numFmtId="0" fontId="0" fillId="40" borderId="94" xfId="0" applyNumberFormat="1" applyFill="1" applyBorder="1" applyAlignment="1" applyProtection="1">
      <alignment horizontal="left" wrapText="1"/>
      <protection locked="0"/>
    </xf>
    <xf numFmtId="0" fontId="0" fillId="41" borderId="113" xfId="0" applyNumberFormat="1" applyFill="1" applyBorder="1" applyAlignment="1" applyProtection="1">
      <alignment horizontal="center" wrapText="1"/>
      <protection locked="0"/>
    </xf>
    <xf numFmtId="1" fontId="0" fillId="33" borderId="97" xfId="0" applyNumberFormat="1" applyFont="1" applyFill="1" applyBorder="1" applyAlignment="1" applyProtection="1">
      <alignment horizontal="left"/>
      <protection locked="0"/>
    </xf>
    <xf numFmtId="0" fontId="0" fillId="41" borderId="113" xfId="0" applyNumberFormat="1" applyFont="1" applyFill="1" applyBorder="1" applyAlignment="1" applyProtection="1">
      <alignment horizontal="center"/>
      <protection locked="0"/>
    </xf>
    <xf numFmtId="0" fontId="0" fillId="41" borderId="106" xfId="0" applyNumberFormat="1" applyFont="1" applyFill="1" applyBorder="1" applyAlignment="1" applyProtection="1">
      <alignment horizontal="center"/>
      <protection locked="0"/>
    </xf>
    <xf numFmtId="0" fontId="37" fillId="40" borderId="201" xfId="0" applyFont="1" applyFill="1" applyBorder="1" applyAlignment="1">
      <alignment horizontal="center" vertical="center" wrapText="1"/>
    </xf>
    <xf numFmtId="0" fontId="37" fillId="40" borderId="19" xfId="0" applyNumberFormat="1" applyFont="1" applyFill="1" applyBorder="1" applyAlignment="1">
      <alignment horizontal="center" vertical="center" wrapText="1"/>
    </xf>
    <xf numFmtId="0" fontId="37" fillId="40" borderId="75" xfId="0" applyNumberFormat="1" applyFont="1" applyFill="1" applyBorder="1" applyAlignment="1">
      <alignment horizontal="center" vertical="center" wrapText="1"/>
    </xf>
    <xf numFmtId="0" fontId="37" fillId="40" borderId="239" xfId="0" applyFont="1" applyFill="1" applyBorder="1" applyAlignment="1">
      <alignment horizontal="center" vertical="center" wrapText="1"/>
    </xf>
    <xf numFmtId="0" fontId="37" fillId="40" borderId="240" xfId="0" applyFont="1" applyFill="1" applyBorder="1" applyAlignment="1">
      <alignment horizontal="center" vertical="center" wrapText="1"/>
    </xf>
    <xf numFmtId="0" fontId="37" fillId="40" borderId="241" xfId="0" applyFont="1" applyFill="1" applyBorder="1" applyAlignment="1">
      <alignment horizontal="center" vertical="center" wrapText="1"/>
    </xf>
    <xf numFmtId="0" fontId="0" fillId="41" borderId="117" xfId="0" applyNumberFormat="1" applyFont="1" applyFill="1" applyBorder="1" applyAlignment="1" applyProtection="1">
      <alignment horizontal="center"/>
      <protection locked="0"/>
    </xf>
    <xf numFmtId="2" fontId="38" fillId="39" borderId="16" xfId="50" applyFont="1" applyFill="1" applyBorder="1" applyAlignment="1" applyProtection="1">
      <alignment horizontal="left" vertical="center" indent="1"/>
    </xf>
    <xf numFmtId="49" fontId="0" fillId="41" borderId="80" xfId="0" applyNumberFormat="1" applyFont="1" applyFill="1" applyBorder="1" applyAlignment="1" applyProtection="1">
      <alignment horizontal="left" vertical="top"/>
      <protection locked="0"/>
    </xf>
    <xf numFmtId="49" fontId="0" fillId="41" borderId="104" xfId="0" applyNumberFormat="1" applyFont="1" applyFill="1" applyBorder="1" applyAlignment="1" applyProtection="1">
      <alignment horizontal="left" vertical="top"/>
      <protection locked="0"/>
    </xf>
    <xf numFmtId="49" fontId="0" fillId="41" borderId="93" xfId="0" applyNumberFormat="1" applyFont="1" applyFill="1" applyBorder="1" applyAlignment="1" applyProtection="1">
      <alignment horizontal="left" vertical="top"/>
      <protection locked="0"/>
    </xf>
    <xf numFmtId="0" fontId="35" fillId="34" borderId="0" xfId="52" applyNumberFormat="1" applyAlignment="1">
      <alignment horizontal="left" vertical="top" wrapText="1"/>
    </xf>
    <xf numFmtId="0" fontId="0" fillId="41" borderId="115" xfId="0" applyNumberFormat="1" applyFont="1" applyFill="1" applyBorder="1" applyAlignment="1" applyProtection="1">
      <alignment horizontal="center"/>
      <protection locked="0"/>
    </xf>
    <xf numFmtId="0" fontId="37" fillId="40" borderId="208" xfId="0" applyFont="1" applyFill="1" applyBorder="1" applyAlignment="1">
      <alignment horizontal="center" vertical="center" wrapText="1"/>
    </xf>
    <xf numFmtId="0" fontId="37" fillId="40" borderId="209" xfId="0" applyFont="1" applyFill="1" applyBorder="1" applyAlignment="1">
      <alignment horizontal="center" vertical="center" wrapText="1"/>
    </xf>
    <xf numFmtId="0" fontId="0" fillId="33" borderId="19" xfId="48" applyFont="1" applyBorder="1" applyAlignment="1" applyProtection="1">
      <alignment horizontal="left" vertical="top" wrapText="1"/>
      <protection locked="0"/>
    </xf>
    <xf numFmtId="0" fontId="0" fillId="33" borderId="0" xfId="48" applyFont="1" applyBorder="1" applyAlignment="1" applyProtection="1">
      <alignment horizontal="left" vertical="top" wrapText="1"/>
      <protection locked="0"/>
    </xf>
    <xf numFmtId="0" fontId="0" fillId="33" borderId="20" xfId="48" applyFont="1" applyBorder="1" applyAlignment="1" applyProtection="1">
      <alignment horizontal="left" vertical="top" wrapText="1"/>
      <protection locked="0"/>
    </xf>
    <xf numFmtId="0" fontId="0" fillId="33" borderId="32" xfId="48" applyFont="1" applyBorder="1" applyAlignment="1" applyProtection="1">
      <alignment horizontal="left" vertical="top" wrapText="1"/>
      <protection locked="0"/>
    </xf>
    <xf numFmtId="0" fontId="0" fillId="33" borderId="54" xfId="48" applyFont="1" applyBorder="1" applyAlignment="1" applyProtection="1">
      <alignment horizontal="left" vertical="top" wrapText="1"/>
      <protection locked="0"/>
    </xf>
    <xf numFmtId="0" fontId="0" fillId="33" borderId="51" xfId="48" applyFont="1" applyBorder="1" applyAlignment="1" applyProtection="1">
      <alignment horizontal="left" vertical="top" wrapText="1"/>
      <protection locked="0"/>
    </xf>
    <xf numFmtId="0" fontId="25" fillId="40" borderId="69" xfId="0" applyFont="1" applyFill="1" applyBorder="1" applyAlignment="1">
      <alignment horizontal="left"/>
    </xf>
    <xf numFmtId="0" fontId="25" fillId="46" borderId="34" xfId="0" applyFont="1" applyFill="1" applyBorder="1" applyAlignment="1">
      <alignment horizontal="left" wrapText="1"/>
    </xf>
    <xf numFmtId="0" fontId="25" fillId="46" borderId="50" xfId="0" applyFont="1" applyFill="1" applyBorder="1" applyAlignment="1">
      <alignment horizontal="left" wrapText="1"/>
    </xf>
    <xf numFmtId="0" fontId="25" fillId="46" borderId="19" xfId="0" applyFont="1" applyFill="1" applyBorder="1" applyAlignment="1">
      <alignment horizontal="left" wrapText="1"/>
    </xf>
    <xf numFmtId="0" fontId="25" fillId="46" borderId="0" xfId="0" applyFont="1" applyFill="1" applyBorder="1" applyAlignment="1">
      <alignment horizontal="left" wrapText="1"/>
    </xf>
    <xf numFmtId="0" fontId="25" fillId="46" borderId="32" xfId="0" applyFont="1" applyFill="1" applyBorder="1" applyAlignment="1">
      <alignment horizontal="left" wrapText="1"/>
    </xf>
    <xf numFmtId="0" fontId="25" fillId="46" borderId="54" xfId="0" applyFont="1" applyFill="1" applyBorder="1" applyAlignment="1">
      <alignment horizontal="left" wrapText="1"/>
    </xf>
    <xf numFmtId="0" fontId="35" fillId="33" borderId="21" xfId="52" applyNumberFormat="1" applyFill="1" applyBorder="1" applyAlignment="1" applyProtection="1">
      <alignment horizontal="left" vertical="top" wrapText="1"/>
      <protection locked="0"/>
    </xf>
    <xf numFmtId="0" fontId="35" fillId="33" borderId="22" xfId="52" applyNumberFormat="1" applyFill="1" applyBorder="1" applyAlignment="1" applyProtection="1">
      <alignment horizontal="left" vertical="top"/>
      <protection locked="0"/>
    </xf>
    <xf numFmtId="0" fontId="35" fillId="33" borderId="23" xfId="52" applyNumberFormat="1" applyFill="1" applyBorder="1" applyAlignment="1" applyProtection="1">
      <alignment horizontal="left" vertical="top"/>
      <protection locked="0"/>
    </xf>
    <xf numFmtId="0" fontId="35" fillId="33" borderId="24" xfId="52" applyNumberFormat="1" applyFill="1" applyBorder="1" applyAlignment="1" applyProtection="1">
      <alignment horizontal="left" vertical="top"/>
      <protection locked="0"/>
    </xf>
    <xf numFmtId="0" fontId="35" fillId="33" borderId="0" xfId="52" applyNumberFormat="1" applyFill="1" applyBorder="1" applyAlignment="1" applyProtection="1">
      <alignment horizontal="left" vertical="top"/>
      <protection locked="0"/>
    </xf>
    <xf numFmtId="0" fontId="35" fillId="33" borderId="25" xfId="52" applyNumberFormat="1" applyFill="1" applyBorder="1" applyAlignment="1" applyProtection="1">
      <alignment horizontal="left" vertical="top"/>
      <protection locked="0"/>
    </xf>
    <xf numFmtId="0" fontId="35" fillId="33" borderId="26" xfId="52" applyNumberFormat="1" applyFill="1" applyBorder="1" applyAlignment="1" applyProtection="1">
      <alignment horizontal="left" vertical="top"/>
      <protection locked="0"/>
    </xf>
    <xf numFmtId="0" fontId="35" fillId="33" borderId="27" xfId="52" applyNumberFormat="1" applyFill="1" applyBorder="1" applyAlignment="1" applyProtection="1">
      <alignment horizontal="left" vertical="top"/>
      <protection locked="0"/>
    </xf>
    <xf numFmtId="0" fontId="35" fillId="33" borderId="28" xfId="52" applyNumberFormat="1" applyFill="1" applyBorder="1" applyAlignment="1" applyProtection="1">
      <alignment horizontal="left" vertical="top"/>
      <protection locked="0"/>
    </xf>
  </cellXfs>
  <cellStyles count="69">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ALERT" xfId="67" xr:uid="{F8478F9C-54E3-424D-8204-5C30F97255E0}"/>
    <cellStyle name="Bad" xfId="12" builtinId="27" hidden="1"/>
    <cellStyle name="Blue Grey 900" xfId="47" xr:uid="{00000000-0005-0000-0000-000019000000}"/>
    <cellStyle name="Calculation" xfId="16" builtinId="22" hidden="1"/>
    <cellStyle name="Check Cell" xfId="18" builtinId="23" hidden="1"/>
    <cellStyle name="Comma" xfId="1" builtinId="3" hidden="1"/>
    <cellStyle name="Comma [0]" xfId="2" builtinId="6" hidden="1"/>
    <cellStyle name="Comment" xfId="52" xr:uid="{00000000-0005-0000-0000-00001E000000}"/>
    <cellStyle name="Currency" xfId="3" builtinId="4" hidden="1"/>
    <cellStyle name="Currency [0]" xfId="4" builtinId="7" hidden="1"/>
    <cellStyle name="Explanatory Text" xfId="21" builtinId="53" hidden="1"/>
    <cellStyle name="Good" xfId="11" builtinId="26" hidden="1"/>
    <cellStyle name="Header" xfId="49" xr:uid="{00000000-0005-0000-0000-000023000000}"/>
    <cellStyle name="Heading 1" xfId="7" builtinId="16" hidden="1"/>
    <cellStyle name="Heading 2" xfId="8" builtinId="17" hidden="1"/>
    <cellStyle name="Heading 3" xfId="9" builtinId="18" hidden="1"/>
    <cellStyle name="Heading 4" xfId="10" builtinId="19" hidden="1"/>
    <cellStyle name="Hyperlink" xfId="53" builtinId="8"/>
    <cellStyle name="Hyperlink 2" xfId="63" xr:uid="{00000000-0005-0000-0000-000034000000}"/>
    <cellStyle name="Input" xfId="14" builtinId="20" hidden="1"/>
    <cellStyle name="Input" xfId="48" builtinId="20" customBuiltin="1"/>
    <cellStyle name="Input 2" xfId="62" xr:uid="{00000000-0005-0000-0000-000035000000}"/>
    <cellStyle name="Light grey" xfId="51" xr:uid="{00000000-0005-0000-0000-00002B000000}"/>
    <cellStyle name="Linked Cell" xfId="17" builtinId="24" hidden="1"/>
    <cellStyle name="LOCKED Left" xfId="68" xr:uid="{BEFB0B4B-72E4-4EE9-A030-022FE15C2154}"/>
    <cellStyle name="Neutral" xfId="13" builtinId="28" hidden="1"/>
    <cellStyle name="Normal" xfId="0" builtinId="0" customBuiltin="1"/>
    <cellStyle name="Normal 2" xfId="54" xr:uid="{00000000-0005-0000-0000-00002F000000}"/>
    <cellStyle name="Normal 2 2" xfId="59" xr:uid="{00000000-0005-0000-0000-000030000000}"/>
    <cellStyle name="Normal 3" xfId="55" xr:uid="{00000000-0005-0000-0000-000031000000}"/>
    <cellStyle name="Normal 4" xfId="56" xr:uid="{00000000-0005-0000-0000-000032000000}"/>
    <cellStyle name="Normal 4 2" xfId="57" xr:uid="{00000000-0005-0000-0000-000033000000}"/>
    <cellStyle name="Normal 4 2 2" xfId="65" xr:uid="{00000000-0005-0000-0000-000033000000}"/>
    <cellStyle name="Normal 4 3" xfId="64" xr:uid="{00000000-0005-0000-0000-000032000000}"/>
    <cellStyle name="Normal 5" xfId="58" xr:uid="{00000000-0005-0000-0000-000034000000}"/>
    <cellStyle name="Normal 5 2" xfId="66" xr:uid="{00000000-0005-0000-0000-000034000000}"/>
    <cellStyle name="Normal 6" xfId="60" xr:uid="{00000000-0005-0000-0000-00003D000000}"/>
    <cellStyle name="Normal 7" xfId="61" xr:uid="{00000000-0005-0000-0000-000037000000}"/>
    <cellStyle name="Note" xfId="20" builtinId="10" hidden="1"/>
    <cellStyle name="Output" xfId="15" builtinId="21" hidden="1"/>
    <cellStyle name="Percent" xfId="5" builtinId="5" hidden="1"/>
    <cellStyle name="Title" xfId="6" builtinId="15" hidden="1"/>
    <cellStyle name="Title level 2" xfId="50" xr:uid="{00000000-0005-0000-0000-000039000000}"/>
    <cellStyle name="Total" xfId="22" builtinId="25" hidden="1"/>
    <cellStyle name="Warning Text" xfId="19" builtinId="11" hidden="1"/>
  </cellStyles>
  <dxfs count="143">
    <dxf>
      <fill>
        <patternFill>
          <bgColor rgb="FFFF0000"/>
        </patternFill>
      </fill>
    </dxf>
    <dxf>
      <fill>
        <patternFill>
          <bgColor rgb="FFFF0000"/>
        </patternFill>
      </fill>
    </dxf>
    <dxf>
      <font>
        <color theme="0" tint="-0.34998626667073579"/>
      </font>
    </dxf>
    <dxf>
      <fill>
        <patternFill>
          <bgColor rgb="FFFFFF00"/>
        </patternFill>
      </fill>
    </dxf>
    <dxf>
      <fill>
        <patternFill>
          <bgColor theme="0"/>
        </patternFill>
      </fill>
    </dxf>
    <dxf>
      <fill>
        <patternFill>
          <bgColor rgb="FFFFFF00"/>
        </patternFill>
      </fill>
    </dxf>
    <dxf>
      <fill>
        <patternFill>
          <bgColor rgb="FF9BC2E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patternFill>
      </fill>
    </dxf>
    <dxf>
      <fill>
        <patternFill>
          <bgColor rgb="FFFF0000"/>
        </patternFill>
      </fill>
    </dxf>
    <dxf>
      <font>
        <color theme="0" tint="-0.34998626667073579"/>
      </font>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ont>
        <color theme="0" tint="-0.34998626667073579"/>
      </font>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rgb="FFFF0000"/>
        </patternFill>
      </fill>
    </dxf>
    <dxf>
      <fill>
        <patternFill>
          <bgColor theme="9"/>
        </patternFill>
      </fill>
    </dxf>
    <dxf>
      <fill>
        <patternFill>
          <bgColor rgb="FF9BC2E6"/>
        </patternFill>
      </fill>
    </dxf>
    <dxf>
      <fill>
        <patternFill>
          <bgColor theme="4" tint="0.39994506668294322"/>
        </patternFill>
      </fill>
    </dxf>
    <dxf>
      <fill>
        <patternFill>
          <bgColor rgb="FFFF0000"/>
        </patternFill>
      </fill>
    </dxf>
    <dxf>
      <font>
        <color theme="0" tint="-0.34998626667073579"/>
      </font>
    </dxf>
    <dxf>
      <font>
        <color theme="0" tint="-0.34998626667073579"/>
      </font>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4" tint="0.39994506668294322"/>
        </patternFill>
      </fill>
    </dxf>
    <dxf>
      <font>
        <color theme="0"/>
      </font>
      <fill>
        <patternFill>
          <bgColor rgb="FFFF000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9"/>
        </patternFill>
      </fill>
    </dxf>
    <dxf>
      <fill>
        <patternFill>
          <bgColor rgb="FF9BC2E6"/>
        </patternFill>
      </fill>
    </dxf>
    <dxf>
      <font>
        <color theme="0" tint="-0.34998626667073579"/>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rgb="FFDEE0E2"/>
        </patternFill>
      </fill>
    </dxf>
    <dxf>
      <fill>
        <patternFill>
          <bgColor theme="9"/>
        </patternFill>
      </fill>
    </dxf>
    <dxf>
      <fill>
        <patternFill>
          <bgColor rgb="FFFF0000"/>
        </patternFill>
      </fill>
    </dxf>
    <dxf>
      <fill>
        <patternFill>
          <bgColor rgb="FF9BC2E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theme="9"/>
        </patternFill>
      </fill>
    </dxf>
    <dxf>
      <fill>
        <patternFill>
          <bgColor rgb="FFFF0000"/>
        </patternFill>
      </fill>
    </dxf>
    <dxf>
      <fill>
        <patternFill>
          <bgColor rgb="FF9BC2E6"/>
        </patternFill>
      </fill>
    </dxf>
    <dxf>
      <font>
        <color theme="0"/>
      </font>
      <fill>
        <patternFill>
          <bgColor theme="9" tint="-0.24994659260841701"/>
        </patternFill>
      </fill>
    </dxf>
    <dxf>
      <fill>
        <patternFill>
          <bgColor rgb="FFFFFF00"/>
        </patternFill>
      </fill>
    </dxf>
    <dxf>
      <fill>
        <patternFill>
          <bgColor rgb="FFFFFF00"/>
        </patternFill>
      </fill>
    </dxf>
    <dxf>
      <font>
        <color theme="0"/>
      </font>
      <fill>
        <patternFill>
          <bgColor theme="9" tint="-0.24994659260841701"/>
        </patternFill>
      </fill>
    </dxf>
    <dxf>
      <fill>
        <patternFill>
          <bgColor theme="9"/>
        </patternFill>
      </fill>
    </dxf>
    <dxf>
      <fill>
        <patternFill>
          <bgColor rgb="FFFF0000"/>
        </patternFill>
      </fill>
    </dxf>
    <dxf>
      <fill>
        <patternFill>
          <bgColor rgb="FF9BC2E6"/>
        </patternFill>
      </fill>
    </dxf>
    <dxf>
      <fill>
        <patternFill>
          <bgColor rgb="FFFF0000"/>
        </patternFill>
      </fill>
    </dxf>
    <dxf>
      <font>
        <color auto="1"/>
      </font>
      <fill>
        <patternFill>
          <bgColor theme="2"/>
        </patternFill>
      </fill>
    </dxf>
    <dxf>
      <fill>
        <patternFill>
          <bgColor rgb="FFFF0000"/>
        </patternFill>
      </fill>
    </dxf>
    <dxf>
      <fill>
        <patternFill>
          <bgColor rgb="FF9BC2E6"/>
        </patternFill>
      </fill>
    </dxf>
    <dxf>
      <fill>
        <patternFill>
          <bgColor rgb="FF92D050"/>
        </patternFill>
      </fill>
    </dxf>
    <dxf>
      <fill>
        <patternFill>
          <bgColor rgb="FF9BC2E6"/>
        </patternFill>
      </fill>
    </dxf>
    <dxf>
      <font>
        <color theme="5" tint="-0.24994659260841701"/>
      </font>
      <fill>
        <patternFill>
          <bgColor theme="5" tint="0.79998168889431442"/>
        </patternFill>
      </fill>
    </dxf>
    <dxf>
      <font>
        <color theme="9" tint="-0.499984740745262"/>
      </font>
      <fill>
        <patternFill>
          <bgColor theme="9" tint="0.79998168889431442"/>
        </patternFill>
      </fill>
    </dxf>
    <dxf>
      <font>
        <color theme="5" tint="-0.24994659260841701"/>
      </font>
      <fill>
        <patternFill>
          <bgColor theme="5" tint="0.79998168889431442"/>
        </patternFill>
      </fill>
    </dxf>
    <dxf>
      <font>
        <color theme="9" tint="-0.499984740745262"/>
      </font>
      <fill>
        <patternFill>
          <bgColor theme="9" tint="0.79998168889431442"/>
        </patternFill>
      </fill>
    </dxf>
    <dxf>
      <font>
        <color auto="1"/>
      </font>
      <fill>
        <patternFill>
          <bgColor theme="2"/>
        </patternFill>
      </fill>
    </dxf>
    <dxf>
      <fill>
        <patternFill>
          <bgColor rgb="FFFF0000"/>
        </patternFill>
      </fill>
    </dxf>
    <dxf>
      <fill>
        <patternFill>
          <bgColor theme="4" tint="0.39994506668294322"/>
        </patternFill>
      </fill>
    </dxf>
    <dxf>
      <fill>
        <patternFill>
          <bgColor rgb="FF9BC2E6"/>
        </patternFill>
      </fill>
    </dxf>
    <dxf>
      <fill>
        <patternFill>
          <bgColor rgb="FF92D050"/>
        </patternFill>
      </fill>
    </dxf>
    <dxf>
      <font>
        <color theme="5" tint="-0.24994659260841701"/>
      </font>
      <fill>
        <patternFill>
          <bgColor theme="5" tint="0.79998168889431442"/>
        </patternFill>
      </fill>
    </dxf>
    <dxf>
      <font>
        <color theme="9" tint="-0.499984740745262"/>
      </font>
      <fill>
        <patternFill>
          <bgColor theme="9" tint="0.79998168889431442"/>
        </patternFill>
      </fill>
    </dxf>
    <dxf>
      <font>
        <color theme="5" tint="-0.24994659260841701"/>
      </font>
      <fill>
        <patternFill>
          <bgColor theme="5"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5" tint="-0.24994659260841701"/>
      </font>
      <fill>
        <patternFill>
          <bgColor theme="5" tint="0.79998168889431442"/>
        </patternFill>
      </fill>
    </dxf>
    <dxf>
      <font>
        <color theme="9" tint="-0.499984740745262"/>
      </font>
      <fill>
        <patternFill>
          <bgColor theme="9" tint="0.79998168889431442"/>
        </patternFill>
      </fill>
    </dxf>
    <dxf>
      <font>
        <color theme="5" tint="-0.24994659260841701"/>
      </font>
      <fill>
        <patternFill>
          <bgColor theme="5" tint="0.79998168889431442"/>
        </patternFill>
      </fill>
    </dxf>
    <dxf>
      <font>
        <b/>
        <i val="0"/>
      </font>
      <fill>
        <patternFill>
          <bgColor rgb="FFDEE0E2"/>
        </patternFill>
      </fill>
      <border>
        <right style="thin">
          <color rgb="FF455A64"/>
        </right>
      </border>
    </dxf>
    <dxf>
      <fill>
        <patternFill>
          <bgColor rgb="FFDEE0E2"/>
        </patternFill>
      </fill>
      <border>
        <top style="medium">
          <color rgb="FF6F777B"/>
        </top>
      </border>
    </dxf>
    <dxf>
      <font>
        <b/>
        <i val="0"/>
        <color theme="1"/>
      </font>
      <fill>
        <patternFill>
          <bgColor rgb="FFDEE0E2"/>
        </patternFill>
      </fill>
      <border>
        <vertical style="dashed">
          <color rgb="FF455A64"/>
        </vertical>
      </border>
    </dxf>
    <dxf>
      <fill>
        <patternFill>
          <bgColor theme="0"/>
        </patternFill>
      </fill>
      <border diagonalUp="0" diagonalDown="0">
        <left style="thick">
          <color rgb="FFBFC1C3"/>
        </left>
        <right style="thick">
          <color rgb="FFBFC1C3"/>
        </right>
        <top/>
        <bottom style="thick">
          <color rgb="FFBFC1C3"/>
        </bottom>
        <vertical style="dashed">
          <color rgb="FFB0BEC5"/>
        </vertical>
        <horizontal style="dashed">
          <color rgb="FFB0BEC5"/>
        </horizontal>
      </border>
    </dxf>
  </dxfs>
  <tableStyles count="2" defaultTableStyle="Main table style 2 2" defaultPivotStyle="PivotStyleLight16">
    <tableStyle name="Main table style 2 2" pivot="0" count="4" xr9:uid="{00000000-0011-0000-FFFF-FFFF00000000}">
      <tableStyleElement type="wholeTable" dxfId="142"/>
      <tableStyleElement type="headerRow" dxfId="141"/>
      <tableStyleElement type="totalRow" dxfId="140"/>
      <tableStyleElement type="firstColumn" dxfId="139"/>
    </tableStyle>
    <tableStyle name="Table Style 1" pivot="0" count="0" xr9:uid="{00000000-0011-0000-FFFF-FFFF01000000}"/>
  </tableStyles>
  <colors>
    <mruColors>
      <color rgb="FFB0BEC5"/>
      <color rgb="FFDEE0E2"/>
      <color rgb="FFBFC1C3"/>
      <color rgb="FF9BC2E6"/>
      <color rgb="FF90A4AE"/>
      <color rgb="FF455A64"/>
      <color rgb="FF0B0C0C"/>
      <color rgb="FF6F777B"/>
      <color rgb="FFE7E1D9"/>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9</xdr:col>
      <xdr:colOff>9525</xdr:colOff>
      <xdr:row>4</xdr:row>
      <xdr:rowOff>0</xdr:rowOff>
    </xdr:from>
    <xdr:to>
      <xdr:col>10</xdr:col>
      <xdr:colOff>98935</xdr:colOff>
      <xdr:row>12</xdr:row>
      <xdr:rowOff>133253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5643" y="683559"/>
          <a:ext cx="1619125" cy="14035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38913" name="VOY_VOY_LASTPORT_DROPDOWN"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12700</xdr:rowOff>
        </xdr:from>
        <xdr:to>
          <xdr:col>1</xdr:col>
          <xdr:colOff>0</xdr:colOff>
          <xdr:row>14</xdr:row>
          <xdr:rowOff>0</xdr:rowOff>
        </xdr:to>
        <xdr:sp macro="" textlink="">
          <xdr:nvSpPr>
            <xdr:cNvPr id="38914" name="ComboBox1"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xdr:row>
          <xdr:rowOff>19050</xdr:rowOff>
        </xdr:from>
        <xdr:to>
          <xdr:col>1</xdr:col>
          <xdr:colOff>0</xdr:colOff>
          <xdr:row>6</xdr:row>
          <xdr:rowOff>19050</xdr:rowOff>
        </xdr:to>
        <xdr:sp macro="" textlink="">
          <xdr:nvSpPr>
            <xdr:cNvPr id="38916" name="VOY_VOY_POC_DROPDOWN"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18</xdr:row>
          <xdr:rowOff>12700</xdr:rowOff>
        </xdr:from>
        <xdr:to>
          <xdr:col>4</xdr:col>
          <xdr:colOff>0</xdr:colOff>
          <xdr:row>18</xdr:row>
          <xdr:rowOff>203200</xdr:rowOff>
        </xdr:to>
        <xdr:sp macro="" textlink="">
          <xdr:nvSpPr>
            <xdr:cNvPr id="13345" name="ComboBox2"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5</xdr:row>
          <xdr:rowOff>0</xdr:rowOff>
        </xdr:from>
        <xdr:to>
          <xdr:col>2</xdr:col>
          <xdr:colOff>3048000</xdr:colOff>
          <xdr:row>6</xdr:row>
          <xdr:rowOff>0</xdr:rowOff>
        </xdr:to>
        <xdr:sp macro="" textlink="">
          <xdr:nvSpPr>
            <xdr:cNvPr id="13346" name="VOY_VOY_POC_DROPDOWN"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1000000}" name="REF_WASTE_TYPE_CODE" displayName="REF_WASTE_TYPE_CODE" ref="AG1:AH37" totalsRowShown="0">
  <autoFilter ref="AG1:AH37" xr:uid="{00000000-0009-0000-0100-000038000000}"/>
  <tableColumns count="2">
    <tableColumn id="1" xr3:uid="{00000000-0010-0000-0100-000001000000}" name="Waste type"/>
    <tableColumn id="2" xr3:uid="{00000000-0010-0000-0100-000002000000}" name="Waste cod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REF_SHIP_TYPE_TABLE" displayName="REF_SHIP_TYPE_TABLE" ref="N1:P90" totalsRowShown="0">
  <autoFilter ref="N1:P90" xr:uid="{00000000-0009-0000-0100-000006000000}"/>
  <tableColumns count="3">
    <tableColumn id="1" xr3:uid="{00000000-0010-0000-0300-000001000000}" name="Name"/>
    <tableColumn id="2" xr3:uid="{00000000-0010-0000-0300-000002000000}" name="Code"/>
    <tableColumn id="3" xr3:uid="{00000000-0010-0000-0300-000003000000}" name="Descriptio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DC11E3-7074-4516-A78C-AB0ECE8FF84F}" name="REF_COUNTRIES_CODES" displayName="REF_COUNTRIES_CODES" ref="AO1:AP297" totalsRowShown="0">
  <autoFilter ref="AO1:AP297" xr:uid="{CA8FE0B2-38F2-4DD6-BA70-6389907A6CA3}"/>
  <tableColumns count="2">
    <tableColumn id="1" xr3:uid="{50ACC882-A167-40E5-B806-1D63974D1CCA}" name="Country code"/>
    <tableColumn id="2" xr3:uid="{1467132B-5FF6-452E-988B-8D552CC49D5A}" name="Country nam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v.uk/government/organisations/maritime-and-coastguard-agency" TargetMode="External"/><Relationship Id="rId7" Type="http://schemas.openxmlformats.org/officeDocument/2006/relationships/printerSettings" Target="../printerSettings/printerSettings1.bin"/><Relationship Id="rId2" Type="http://schemas.openxmlformats.org/officeDocument/2006/relationships/hyperlink" Target="mailto:cers@mcga.gov.uk" TargetMode="External"/><Relationship Id="rId1" Type="http://schemas.openxmlformats.org/officeDocument/2006/relationships/hyperlink" Target="http://mca-wordpress.ibboost.com/" TargetMode="External"/><Relationship Id="rId6" Type="http://schemas.openxmlformats.org/officeDocument/2006/relationships/hyperlink" Target="mailto:cers3@mcga.gov.uk" TargetMode="External"/><Relationship Id="rId5" Type="http://schemas.openxmlformats.org/officeDocument/2006/relationships/hyperlink" Target="http://www.emsa.europa.eu/ssn-main/documents.html" TargetMode="External"/><Relationship Id="rId4" Type="http://schemas.openxmlformats.org/officeDocument/2006/relationships/hyperlink" Target="https://www.ibboost.com/"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5.xml"/><Relationship Id="rId5" Type="http://schemas.openxmlformats.org/officeDocument/2006/relationships/image" Target="../media/image5.emf"/><Relationship Id="rId4" Type="http://schemas.openxmlformats.org/officeDocument/2006/relationships/control" Target="../activeX/activeX4.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U121"/>
  <sheetViews>
    <sheetView tabSelected="1" zoomScale="90" zoomScaleNormal="90" workbookViewId="0">
      <pane ySplit="3" topLeftCell="A8" activePane="bottomLeft" state="frozen"/>
      <selection pane="bottomLeft" activeCell="H20" sqref="H20"/>
    </sheetView>
  </sheetViews>
  <sheetFormatPr defaultColWidth="9.1796875" defaultRowHeight="12.5" x14ac:dyDescent="0.25"/>
  <cols>
    <col min="1" max="1" width="2.26953125" style="13" customWidth="1"/>
    <col min="2" max="2" width="18.26953125" style="13" customWidth="1"/>
    <col min="3" max="3" width="16" style="13" customWidth="1"/>
    <col min="4" max="4" width="20.1796875" style="13" customWidth="1"/>
    <col min="5" max="5" width="15.1796875" style="13" customWidth="1"/>
    <col min="6" max="6" width="3.453125" style="13" customWidth="1"/>
    <col min="7" max="7" width="25.26953125" style="13" customWidth="1"/>
    <col min="8" max="8" width="47.1796875" style="13" customWidth="1"/>
    <col min="9" max="9" width="11.1796875" style="13" customWidth="1"/>
    <col min="10" max="10" width="22.81640625" style="13" customWidth="1"/>
    <col min="11" max="11" width="25.1796875" style="13" customWidth="1"/>
    <col min="12" max="13" width="16.81640625" style="13" customWidth="1"/>
    <col min="14" max="14" width="4.1796875" style="13" customWidth="1"/>
    <col min="15" max="18" width="16.81640625" style="13" customWidth="1"/>
    <col min="19" max="16384" width="9.1796875" style="13"/>
  </cols>
  <sheetData>
    <row r="1" spans="2:21" s="34" customFormat="1" ht="4.5" customHeight="1" x14ac:dyDescent="0.25"/>
    <row r="2" spans="2:21" s="34" customFormat="1" ht="20" x14ac:dyDescent="0.25">
      <c r="B2" s="34" t="s">
        <v>697</v>
      </c>
    </row>
    <row r="3" spans="2:21" s="34" customFormat="1" ht="4.5" customHeight="1" x14ac:dyDescent="0.25"/>
    <row r="4" spans="2:21" ht="12.75" customHeight="1" x14ac:dyDescent="0.25">
      <c r="B4" s="14"/>
      <c r="C4" s="14"/>
      <c r="D4" s="14"/>
      <c r="E4" s="14"/>
    </row>
    <row r="5" spans="2:21" ht="12.75" customHeight="1" x14ac:dyDescent="0.25">
      <c r="B5" s="531" t="s">
        <v>696</v>
      </c>
      <c r="C5" s="531"/>
      <c r="D5" s="531"/>
      <c r="E5" s="531"/>
      <c r="F5" s="531"/>
      <c r="G5" s="531"/>
      <c r="H5" s="531"/>
    </row>
    <row r="6" spans="2:21" s="15" customFormat="1" ht="12.75" customHeight="1" x14ac:dyDescent="0.25">
      <c r="B6" s="531"/>
      <c r="C6" s="531"/>
      <c r="D6" s="531"/>
      <c r="E6" s="531"/>
      <c r="F6" s="531"/>
      <c r="G6" s="531"/>
      <c r="H6" s="531"/>
    </row>
    <row r="7" spans="2:21" s="15" customFormat="1" ht="12.75" customHeight="1" x14ac:dyDescent="0.25">
      <c r="B7" s="531"/>
      <c r="C7" s="531"/>
      <c r="D7" s="531"/>
      <c r="E7" s="531"/>
      <c r="F7" s="531"/>
      <c r="G7" s="531"/>
      <c r="H7" s="531"/>
    </row>
    <row r="8" spans="2:21" s="15" customFormat="1" ht="12.75" customHeight="1" x14ac:dyDescent="0.25">
      <c r="B8" s="531"/>
      <c r="C8" s="531"/>
      <c r="D8" s="531"/>
      <c r="E8" s="531"/>
      <c r="F8" s="531"/>
      <c r="G8" s="531"/>
      <c r="H8" s="531"/>
    </row>
    <row r="9" spans="2:21" s="15" customFormat="1" ht="12.75" customHeight="1" x14ac:dyDescent="0.25">
      <c r="B9" s="531"/>
      <c r="C9" s="531"/>
      <c r="D9" s="531"/>
      <c r="E9" s="531"/>
      <c r="F9" s="531"/>
      <c r="G9" s="531"/>
      <c r="H9" s="531"/>
      <c r="L9" s="13"/>
      <c r="M9" s="13"/>
      <c r="N9" s="13"/>
      <c r="O9" s="13"/>
      <c r="P9" s="13"/>
      <c r="Q9" s="13"/>
      <c r="R9" s="13"/>
      <c r="S9" s="13"/>
      <c r="T9" s="13"/>
      <c r="U9" s="13"/>
    </row>
    <row r="10" spans="2:21" s="15" customFormat="1" ht="12.75" customHeight="1" x14ac:dyDescent="0.25">
      <c r="B10" s="531"/>
      <c r="C10" s="531"/>
      <c r="D10" s="531"/>
      <c r="E10" s="531"/>
      <c r="F10" s="531"/>
      <c r="G10" s="531"/>
      <c r="H10" s="531"/>
      <c r="L10" s="13"/>
      <c r="M10" s="13"/>
      <c r="N10" s="13"/>
      <c r="O10" s="13"/>
      <c r="P10" s="13"/>
      <c r="Q10" s="13"/>
      <c r="R10" s="13"/>
      <c r="S10" s="13"/>
      <c r="T10" s="13"/>
      <c r="U10" s="13"/>
    </row>
    <row r="11" spans="2:21" s="15" customFormat="1" ht="12.75" customHeight="1" x14ac:dyDescent="0.25">
      <c r="B11" s="531"/>
      <c r="C11" s="531"/>
      <c r="D11" s="531"/>
      <c r="E11" s="531"/>
      <c r="F11" s="531"/>
      <c r="G11" s="531"/>
      <c r="H11" s="531"/>
      <c r="L11" s="13"/>
      <c r="M11" s="13"/>
      <c r="N11" s="13"/>
      <c r="O11" s="13"/>
      <c r="P11" s="13"/>
      <c r="Q11" s="13"/>
      <c r="R11" s="13"/>
      <c r="S11" s="13"/>
      <c r="T11" s="13"/>
      <c r="U11" s="13"/>
    </row>
    <row r="12" spans="2:21" s="16" customFormat="1" ht="12.75" customHeight="1" x14ac:dyDescent="0.3">
      <c r="B12" s="531"/>
      <c r="C12" s="531"/>
      <c r="D12" s="531"/>
      <c r="E12" s="531"/>
      <c r="F12" s="531"/>
      <c r="G12" s="531"/>
      <c r="H12" s="531"/>
      <c r="L12" s="13"/>
      <c r="M12" s="13"/>
      <c r="N12" s="13"/>
      <c r="O12" s="13"/>
      <c r="P12" s="13"/>
      <c r="Q12" s="13"/>
      <c r="R12" s="13"/>
      <c r="S12" s="13"/>
      <c r="T12" s="13"/>
      <c r="U12" s="13"/>
    </row>
    <row r="13" spans="2:21" x14ac:dyDescent="0.25">
      <c r="B13" s="531"/>
      <c r="C13" s="531"/>
      <c r="D13" s="531"/>
      <c r="E13" s="531"/>
      <c r="F13" s="531"/>
      <c r="G13" s="531"/>
      <c r="H13" s="531"/>
    </row>
    <row r="14" spans="2:21" ht="12.75" customHeight="1" x14ac:dyDescent="0.25">
      <c r="B14" s="531"/>
      <c r="C14" s="531"/>
      <c r="D14" s="531"/>
      <c r="E14" s="531"/>
      <c r="F14" s="531"/>
      <c r="G14" s="531"/>
      <c r="H14" s="531"/>
    </row>
    <row r="15" spans="2:21" ht="12.75" customHeight="1" x14ac:dyDescent="0.25">
      <c r="B15" s="534" t="s">
        <v>1358</v>
      </c>
      <c r="C15" s="534"/>
      <c r="D15" s="534"/>
      <c r="E15" s="534"/>
      <c r="F15" s="534"/>
      <c r="G15" s="534"/>
      <c r="H15" s="534"/>
    </row>
    <row r="16" spans="2:21" ht="12.75" customHeight="1" x14ac:dyDescent="0.25">
      <c r="B16" s="535" t="s">
        <v>1249</v>
      </c>
      <c r="C16" s="535"/>
      <c r="D16" s="535"/>
      <c r="E16" s="535"/>
      <c r="F16" s="535"/>
      <c r="G16" s="535"/>
      <c r="H16" s="535"/>
    </row>
    <row r="17" spans="2:11" ht="12.75" customHeight="1" thickBot="1" x14ac:dyDescent="0.3">
      <c r="B17" s="28"/>
      <c r="C17" s="28"/>
      <c r="D17" s="29"/>
      <c r="E17" s="29"/>
      <c r="F17" s="28"/>
      <c r="G17" s="29"/>
      <c r="H17" s="28"/>
    </row>
    <row r="18" spans="2:11" ht="12.75" customHeight="1" thickTop="1" thickBot="1" x14ac:dyDescent="0.3">
      <c r="B18" s="567" t="s">
        <v>686</v>
      </c>
      <c r="C18" s="568"/>
      <c r="D18" s="568"/>
      <c r="E18" s="387"/>
      <c r="F18" s="574"/>
      <c r="G18" s="540" t="s">
        <v>688</v>
      </c>
      <c r="H18" s="541"/>
      <c r="J18" s="571" t="s">
        <v>699</v>
      </c>
      <c r="K18" s="571"/>
    </row>
    <row r="19" spans="2:11" ht="12.75" customHeight="1" thickTop="1" x14ac:dyDescent="0.25">
      <c r="B19" s="569"/>
      <c r="C19" s="570"/>
      <c r="D19" s="570"/>
      <c r="E19" s="387"/>
      <c r="F19" s="574"/>
      <c r="G19" s="542"/>
      <c r="H19" s="543"/>
      <c r="J19" s="571"/>
      <c r="K19" s="571"/>
    </row>
    <row r="20" spans="2:11" ht="13" x14ac:dyDescent="0.3">
      <c r="B20" s="49" t="s">
        <v>1415</v>
      </c>
      <c r="C20" s="61" t="s">
        <v>1936</v>
      </c>
      <c r="D20" s="379" t="str">
        <f>VES_STATUS</f>
        <v>Empty</v>
      </c>
      <c r="E20" s="387"/>
      <c r="F20" s="386"/>
      <c r="G20" s="462" t="s">
        <v>2035</v>
      </c>
      <c r="H20" s="508"/>
      <c r="J20" s="43" t="s">
        <v>632</v>
      </c>
      <c r="K20" s="44" t="s">
        <v>2040</v>
      </c>
    </row>
    <row r="21" spans="2:11" ht="13" x14ac:dyDescent="0.3">
      <c r="B21" s="50" t="s">
        <v>7</v>
      </c>
      <c r="C21" s="62" t="s">
        <v>1936</v>
      </c>
      <c r="D21" s="380" t="str">
        <f>VOY_STATUS</f>
        <v>Empty</v>
      </c>
      <c r="E21" s="387"/>
      <c r="F21" s="386"/>
      <c r="G21" s="462" t="s">
        <v>1954</v>
      </c>
      <c r="H21" s="530"/>
      <c r="J21" s="45" t="s">
        <v>700</v>
      </c>
      <c r="K21" s="46">
        <v>43494</v>
      </c>
    </row>
    <row r="22" spans="2:11" ht="13.5" thickBot="1" x14ac:dyDescent="0.35">
      <c r="B22" s="50" t="s">
        <v>72</v>
      </c>
      <c r="C22" s="62" t="s">
        <v>1936</v>
      </c>
      <c r="D22" s="380" t="str">
        <f>WAS_STATUS</f>
        <v>Empty</v>
      </c>
      <c r="E22" s="387"/>
      <c r="F22" s="386"/>
      <c r="G22" s="463" t="s">
        <v>687</v>
      </c>
      <c r="H22" s="500">
        <f ca="1">NOW()</f>
        <v>43609.342830208334</v>
      </c>
      <c r="J22" s="47" t="s">
        <v>701</v>
      </c>
      <c r="K22" s="48" t="s">
        <v>702</v>
      </c>
    </row>
    <row r="23" spans="2:11" ht="13.5" customHeight="1" thickTop="1" x14ac:dyDescent="0.25">
      <c r="B23" s="50" t="s">
        <v>590</v>
      </c>
      <c r="C23" s="62" t="s">
        <v>1936</v>
      </c>
      <c r="D23" s="380" t="str">
        <f>IHZ_STATUS</f>
        <v>Empty</v>
      </c>
      <c r="E23" s="387"/>
      <c r="F23" s="386"/>
      <c r="G23" s="544" t="s">
        <v>2032</v>
      </c>
      <c r="H23" s="545"/>
    </row>
    <row r="24" spans="2:11" ht="13" x14ac:dyDescent="0.25">
      <c r="B24" s="50" t="s">
        <v>589</v>
      </c>
      <c r="C24" s="62" t="s">
        <v>1936</v>
      </c>
      <c r="D24" s="380" t="str">
        <f>OHZ_STATUS</f>
        <v>Empty</v>
      </c>
      <c r="E24" s="387"/>
      <c r="F24" s="386"/>
      <c r="G24" s="546"/>
      <c r="H24" s="547"/>
      <c r="J24" s="17" t="s">
        <v>674</v>
      </c>
      <c r="K24" s="19"/>
    </row>
    <row r="25" spans="2:11" ht="13.5" thickBot="1" x14ac:dyDescent="0.3">
      <c r="B25" s="51" t="s">
        <v>73</v>
      </c>
      <c r="C25" s="63" t="s">
        <v>1936</v>
      </c>
      <c r="D25" s="381" t="str">
        <f>SEC_STATUS</f>
        <v>Empty</v>
      </c>
      <c r="E25" s="387"/>
      <c r="F25" s="386"/>
      <c r="G25" s="548"/>
      <c r="H25" s="549"/>
      <c r="J25" s="68" t="s">
        <v>673</v>
      </c>
      <c r="K25" s="19"/>
    </row>
    <row r="26" spans="2:11" ht="14" thickTop="1" thickBot="1" x14ac:dyDescent="0.3">
      <c r="F26" s="25"/>
      <c r="G26" s="25"/>
      <c r="H26" s="26"/>
      <c r="K26" s="19"/>
    </row>
    <row r="27" spans="2:11" ht="14" thickTop="1" thickBot="1" x14ac:dyDescent="0.3">
      <c r="B27" s="536" t="s">
        <v>1904</v>
      </c>
      <c r="C27" s="536"/>
      <c r="D27" s="536"/>
      <c r="E27" s="536"/>
      <c r="F27" s="536"/>
      <c r="G27" s="536"/>
      <c r="H27" s="536"/>
      <c r="J27" s="17" t="s">
        <v>1250</v>
      </c>
      <c r="K27" s="19"/>
    </row>
    <row r="28" spans="2:11" ht="13.5" thickTop="1" x14ac:dyDescent="0.25">
      <c r="B28" s="536"/>
      <c r="C28" s="536"/>
      <c r="D28" s="536"/>
      <c r="E28" s="536"/>
      <c r="F28" s="536"/>
      <c r="G28" s="536"/>
      <c r="H28" s="536"/>
      <c r="J28" s="68" t="s">
        <v>1249</v>
      </c>
      <c r="K28" s="19"/>
    </row>
    <row r="29" spans="2:11" ht="13.5" customHeight="1" x14ac:dyDescent="0.3">
      <c r="B29" s="49" t="s">
        <v>1918</v>
      </c>
      <c r="C29" s="507"/>
      <c r="D29" s="539" t="s">
        <v>1909</v>
      </c>
      <c r="E29" s="539"/>
      <c r="F29" s="539"/>
      <c r="G29" s="537" t="s">
        <v>1932</v>
      </c>
      <c r="H29" s="538"/>
      <c r="K29" s="19"/>
    </row>
    <row r="30" spans="2:11" ht="12.75" customHeight="1" x14ac:dyDescent="0.25">
      <c r="B30" s="564" t="s">
        <v>1919</v>
      </c>
      <c r="C30" s="565"/>
      <c r="D30" s="565"/>
      <c r="E30" s="565"/>
      <c r="F30" s="565"/>
      <c r="G30" s="565"/>
      <c r="H30" s="566"/>
      <c r="J30" s="20" t="s">
        <v>1942</v>
      </c>
      <c r="K30" s="19"/>
    </row>
    <row r="31" spans="2:11" ht="12.75" customHeight="1" x14ac:dyDescent="0.25">
      <c r="B31" s="558"/>
      <c r="C31" s="559"/>
      <c r="D31" s="559"/>
      <c r="E31" s="559"/>
      <c r="F31" s="559"/>
      <c r="G31" s="559"/>
      <c r="H31" s="560"/>
      <c r="J31" s="68" t="s">
        <v>698</v>
      </c>
      <c r="K31" s="19"/>
    </row>
    <row r="32" spans="2:11" ht="13.5" thickBot="1" x14ac:dyDescent="0.3">
      <c r="B32" s="561"/>
      <c r="C32" s="562"/>
      <c r="D32" s="562"/>
      <c r="E32" s="562"/>
      <c r="F32" s="562"/>
      <c r="G32" s="562"/>
      <c r="H32" s="563"/>
      <c r="J32" s="18"/>
      <c r="K32" s="19"/>
    </row>
    <row r="33" spans="2:14" ht="14" thickTop="1" thickBot="1" x14ac:dyDescent="0.3">
      <c r="B33" s="365"/>
      <c r="C33" s="365"/>
      <c r="D33" s="365"/>
      <c r="E33" s="365"/>
      <c r="F33" s="365"/>
      <c r="G33" s="365"/>
      <c r="H33" s="365"/>
      <c r="J33" s="13" t="s">
        <v>1943</v>
      </c>
      <c r="K33" s="19"/>
    </row>
    <row r="34" spans="2:14" ht="13.5" customHeight="1" thickTop="1" x14ac:dyDescent="0.25">
      <c r="B34" s="567" t="s">
        <v>1905</v>
      </c>
      <c r="C34" s="568"/>
      <c r="D34" s="568"/>
      <c r="E34" s="568"/>
      <c r="F34" s="568"/>
      <c r="G34" s="568"/>
      <c r="H34" s="572"/>
      <c r="J34" s="68" t="s">
        <v>1941</v>
      </c>
      <c r="K34" s="19"/>
    </row>
    <row r="35" spans="2:14" ht="12.75" customHeight="1" x14ac:dyDescent="0.25">
      <c r="B35" s="569"/>
      <c r="C35" s="570"/>
      <c r="D35" s="570"/>
      <c r="E35" s="570"/>
      <c r="F35" s="570"/>
      <c r="G35" s="570"/>
      <c r="H35" s="573"/>
      <c r="K35" s="19"/>
    </row>
    <row r="36" spans="2:14" ht="12" customHeight="1" x14ac:dyDescent="0.25">
      <c r="B36" s="550" t="s">
        <v>2033</v>
      </c>
      <c r="C36" s="551"/>
      <c r="D36" s="551"/>
      <c r="E36" s="551"/>
      <c r="F36" s="551"/>
      <c r="G36" s="554" t="s">
        <v>2012</v>
      </c>
      <c r="H36" s="555"/>
      <c r="J36" s="20" t="s">
        <v>675</v>
      </c>
      <c r="K36" s="19"/>
    </row>
    <row r="37" spans="2:14" ht="13" x14ac:dyDescent="0.25">
      <c r="B37" s="550"/>
      <c r="C37" s="551"/>
      <c r="D37" s="551"/>
      <c r="E37" s="551"/>
      <c r="F37" s="551"/>
      <c r="G37" s="554"/>
      <c r="H37" s="555"/>
      <c r="J37" s="68" t="s">
        <v>676</v>
      </c>
      <c r="K37" s="19"/>
    </row>
    <row r="38" spans="2:14" ht="13" x14ac:dyDescent="0.25">
      <c r="B38" s="550"/>
      <c r="C38" s="551"/>
      <c r="D38" s="551"/>
      <c r="E38" s="551"/>
      <c r="F38" s="551"/>
      <c r="G38" s="554"/>
      <c r="H38" s="555"/>
      <c r="K38" s="19"/>
    </row>
    <row r="39" spans="2:14" ht="13" x14ac:dyDescent="0.25">
      <c r="B39" s="550"/>
      <c r="C39" s="551"/>
      <c r="D39" s="551"/>
      <c r="E39" s="551"/>
      <c r="F39" s="551"/>
      <c r="G39" s="554"/>
      <c r="H39" s="555"/>
      <c r="J39" s="22" t="s">
        <v>677</v>
      </c>
      <c r="K39" s="19"/>
    </row>
    <row r="40" spans="2:14" ht="13.5" thickBot="1" x14ac:dyDescent="0.3">
      <c r="B40" s="552"/>
      <c r="C40" s="553"/>
      <c r="D40" s="553"/>
      <c r="E40" s="553"/>
      <c r="F40" s="553"/>
      <c r="G40" s="556"/>
      <c r="H40" s="557"/>
      <c r="J40" s="68" t="s">
        <v>681</v>
      </c>
    </row>
    <row r="41" spans="2:14" ht="13.5" thickTop="1" x14ac:dyDescent="0.25">
      <c r="F41" s="25"/>
      <c r="G41" s="25"/>
      <c r="H41" s="26"/>
      <c r="J41" s="21"/>
    </row>
    <row r="42" spans="2:14" ht="12.75" customHeight="1" x14ac:dyDescent="0.25">
      <c r="B42" s="533" t="s">
        <v>1357</v>
      </c>
      <c r="C42" s="533"/>
      <c r="D42" s="533"/>
      <c r="E42" s="533"/>
      <c r="F42" s="533"/>
      <c r="G42" s="533"/>
      <c r="H42" s="533"/>
      <c r="J42" s="22"/>
    </row>
    <row r="43" spans="2:14" x14ac:dyDescent="0.25">
      <c r="B43" s="533"/>
      <c r="C43" s="533"/>
      <c r="D43" s="533"/>
      <c r="E43" s="533"/>
      <c r="F43" s="533"/>
      <c r="G43" s="533"/>
      <c r="H43" s="533"/>
      <c r="J43" s="316"/>
    </row>
    <row r="44" spans="2:14" x14ac:dyDescent="0.25">
      <c r="B44" s="533"/>
      <c r="C44" s="533"/>
      <c r="D44" s="533"/>
      <c r="E44" s="533"/>
      <c r="F44" s="533"/>
      <c r="G44" s="533"/>
      <c r="H44" s="533"/>
      <c r="J44" s="22"/>
    </row>
    <row r="45" spans="2:14" x14ac:dyDescent="0.25">
      <c r="B45" s="533"/>
      <c r="C45" s="533"/>
      <c r="D45" s="533"/>
      <c r="E45" s="533"/>
      <c r="F45" s="533"/>
      <c r="G45" s="533"/>
      <c r="H45" s="533"/>
    </row>
    <row r="46" spans="2:14" x14ac:dyDescent="0.25">
      <c r="B46" s="533"/>
      <c r="C46" s="533"/>
      <c r="D46" s="533"/>
      <c r="E46" s="533"/>
      <c r="F46" s="533"/>
      <c r="G46" s="533"/>
      <c r="H46" s="533"/>
    </row>
    <row r="47" spans="2:14" x14ac:dyDescent="0.25">
      <c r="B47" s="27"/>
      <c r="C47" s="27"/>
      <c r="D47" s="27"/>
      <c r="E47" s="27"/>
      <c r="F47" s="24"/>
      <c r="G47" s="24"/>
      <c r="H47" s="29"/>
    </row>
    <row r="48" spans="2:14" ht="12.75" customHeight="1" x14ac:dyDescent="0.25">
      <c r="B48" s="532" t="s">
        <v>682</v>
      </c>
      <c r="C48" s="532"/>
      <c r="D48" s="532"/>
      <c r="E48" s="532"/>
      <c r="F48" s="532"/>
      <c r="G48" s="532"/>
      <c r="H48" s="532"/>
      <c r="L48" s="21"/>
      <c r="M48" s="21"/>
      <c r="N48" s="21"/>
    </row>
    <row r="49" spans="1:14" ht="14.15" customHeight="1" x14ac:dyDescent="0.25">
      <c r="B49" s="532"/>
      <c r="C49" s="532"/>
      <c r="D49" s="532"/>
      <c r="E49" s="532"/>
      <c r="F49" s="532"/>
      <c r="G49" s="532"/>
      <c r="H49" s="532"/>
      <c r="L49" s="21"/>
      <c r="M49" s="21"/>
      <c r="N49" s="21"/>
    </row>
    <row r="50" spans="1:14" ht="14.15" customHeight="1" x14ac:dyDescent="0.25">
      <c r="B50" s="531" t="s">
        <v>2048</v>
      </c>
      <c r="C50" s="531"/>
      <c r="D50" s="531"/>
      <c r="E50" s="531"/>
      <c r="F50" s="531"/>
      <c r="G50" s="531"/>
      <c r="H50" s="531"/>
      <c r="L50" s="21"/>
      <c r="M50" s="21"/>
      <c r="N50" s="21"/>
    </row>
    <row r="51" spans="1:14" x14ac:dyDescent="0.25">
      <c r="B51" s="531"/>
      <c r="C51" s="531"/>
      <c r="D51" s="531"/>
      <c r="E51" s="531"/>
      <c r="F51" s="531"/>
      <c r="G51" s="531"/>
      <c r="H51" s="531"/>
      <c r="L51" s="21"/>
      <c r="M51" s="21"/>
      <c r="N51" s="21"/>
    </row>
    <row r="52" spans="1:14" x14ac:dyDescent="0.25">
      <c r="B52" s="531"/>
      <c r="C52" s="531"/>
      <c r="D52" s="531"/>
      <c r="E52" s="531"/>
      <c r="F52" s="531"/>
      <c r="G52" s="531"/>
      <c r="H52" s="531"/>
      <c r="I52" s="21"/>
      <c r="L52" s="21"/>
      <c r="M52" s="21"/>
      <c r="N52" s="21"/>
    </row>
    <row r="53" spans="1:14" x14ac:dyDescent="0.25">
      <c r="B53" s="531"/>
      <c r="C53" s="531"/>
      <c r="D53" s="531"/>
      <c r="E53" s="531"/>
      <c r="F53" s="531"/>
      <c r="G53" s="531"/>
      <c r="H53" s="531"/>
      <c r="L53" s="21"/>
      <c r="M53" s="21"/>
      <c r="N53" s="21"/>
    </row>
    <row r="54" spans="1:14" x14ac:dyDescent="0.25">
      <c r="B54" s="531"/>
      <c r="C54" s="531"/>
      <c r="D54" s="531"/>
      <c r="E54" s="531"/>
      <c r="F54" s="531"/>
      <c r="G54" s="531"/>
      <c r="H54" s="531"/>
      <c r="I54" s="21"/>
      <c r="K54" s="21"/>
      <c r="L54" s="21"/>
      <c r="M54" s="21"/>
      <c r="N54" s="21"/>
    </row>
    <row r="55" spans="1:14" x14ac:dyDescent="0.25">
      <c r="B55" s="531"/>
      <c r="C55" s="531"/>
      <c r="D55" s="531"/>
      <c r="E55" s="531"/>
      <c r="F55" s="531"/>
      <c r="G55" s="531"/>
      <c r="H55" s="531"/>
      <c r="I55" s="21"/>
      <c r="K55" s="22"/>
      <c r="L55" s="21"/>
      <c r="M55" s="21"/>
      <c r="N55" s="21"/>
    </row>
    <row r="56" spans="1:14" ht="12.75" customHeight="1" x14ac:dyDescent="0.25">
      <c r="B56" s="531"/>
      <c r="C56" s="531"/>
      <c r="D56" s="531"/>
      <c r="E56" s="531"/>
      <c r="F56" s="531"/>
      <c r="G56" s="531"/>
      <c r="H56" s="531"/>
      <c r="I56" s="21"/>
      <c r="K56" s="22"/>
      <c r="L56" s="21"/>
      <c r="M56" s="21"/>
      <c r="N56" s="21"/>
    </row>
    <row r="57" spans="1:14" ht="13.5" customHeight="1" x14ac:dyDescent="0.25">
      <c r="B57" s="531"/>
      <c r="C57" s="531"/>
      <c r="D57" s="531"/>
      <c r="E57" s="531"/>
      <c r="F57" s="531"/>
      <c r="G57" s="531"/>
      <c r="H57" s="531"/>
      <c r="I57" s="21"/>
      <c r="K57" s="22"/>
      <c r="L57" s="21"/>
      <c r="M57" s="21"/>
      <c r="N57" s="21"/>
    </row>
    <row r="58" spans="1:14" x14ac:dyDescent="0.25">
      <c r="B58" s="531"/>
      <c r="C58" s="531"/>
      <c r="D58" s="531"/>
      <c r="E58" s="531"/>
      <c r="F58" s="531"/>
      <c r="G58" s="531"/>
      <c r="H58" s="531"/>
      <c r="I58" s="21"/>
      <c r="L58" s="21"/>
      <c r="M58" s="21"/>
      <c r="N58" s="21"/>
    </row>
    <row r="59" spans="1:14" ht="13" x14ac:dyDescent="0.3">
      <c r="B59" s="531"/>
      <c r="C59" s="531"/>
      <c r="D59" s="531"/>
      <c r="E59" s="531"/>
      <c r="F59" s="531"/>
      <c r="G59" s="531"/>
      <c r="H59" s="531"/>
      <c r="I59" s="21"/>
      <c r="K59" s="37"/>
      <c r="L59" s="21"/>
      <c r="M59" s="21"/>
      <c r="N59" s="21"/>
    </row>
    <row r="60" spans="1:14" x14ac:dyDescent="0.25">
      <c r="B60" s="531"/>
      <c r="C60" s="531"/>
      <c r="D60" s="531"/>
      <c r="E60" s="531"/>
      <c r="F60" s="531"/>
      <c r="G60" s="531"/>
      <c r="H60" s="531"/>
      <c r="I60" s="21"/>
      <c r="L60" s="21"/>
      <c r="M60" s="21"/>
      <c r="N60" s="21"/>
    </row>
    <row r="61" spans="1:14" x14ac:dyDescent="0.25">
      <c r="B61" s="531"/>
      <c r="C61" s="531"/>
      <c r="D61" s="531"/>
      <c r="E61" s="531"/>
      <c r="F61" s="531"/>
      <c r="G61" s="531"/>
      <c r="H61" s="531"/>
      <c r="I61" s="21"/>
      <c r="L61" s="21"/>
      <c r="M61" s="21"/>
      <c r="N61" s="21"/>
    </row>
    <row r="62" spans="1:14" x14ac:dyDescent="0.25">
      <c r="B62" s="531"/>
      <c r="C62" s="531"/>
      <c r="D62" s="531"/>
      <c r="E62" s="531"/>
      <c r="F62" s="531"/>
      <c r="G62" s="531"/>
      <c r="H62" s="531"/>
      <c r="I62" s="21"/>
      <c r="L62" s="21"/>
      <c r="M62" s="21"/>
      <c r="N62" s="21"/>
    </row>
    <row r="63" spans="1:14" x14ac:dyDescent="0.25">
      <c r="A63" s="23"/>
      <c r="B63" s="531"/>
      <c r="C63" s="531"/>
      <c r="D63" s="531"/>
      <c r="E63" s="531"/>
      <c r="F63" s="531"/>
      <c r="G63" s="531"/>
      <c r="H63" s="531"/>
      <c r="I63" s="21"/>
      <c r="L63" s="23"/>
      <c r="M63" s="23"/>
      <c r="N63" s="23"/>
    </row>
    <row r="64" spans="1:14" x14ac:dyDescent="0.25">
      <c r="A64" s="23"/>
      <c r="B64" s="531"/>
      <c r="C64" s="531"/>
      <c r="D64" s="531"/>
      <c r="E64" s="531"/>
      <c r="F64" s="531"/>
      <c r="G64" s="531"/>
      <c r="H64" s="531"/>
      <c r="I64" s="21"/>
      <c r="L64" s="23"/>
      <c r="M64" s="23"/>
      <c r="N64" s="23"/>
    </row>
    <row r="65" spans="2:14" x14ac:dyDescent="0.25">
      <c r="B65" s="531"/>
      <c r="C65" s="531"/>
      <c r="D65" s="531"/>
      <c r="E65" s="531"/>
      <c r="F65" s="531"/>
      <c r="G65" s="531"/>
      <c r="H65" s="531"/>
      <c r="I65" s="21"/>
      <c r="L65" s="21"/>
      <c r="M65" s="21"/>
      <c r="N65" s="21"/>
    </row>
    <row r="66" spans="2:14" x14ac:dyDescent="0.25">
      <c r="B66" s="531"/>
      <c r="C66" s="531"/>
      <c r="D66" s="531"/>
      <c r="E66" s="531"/>
      <c r="F66" s="531"/>
      <c r="G66" s="531"/>
      <c r="H66" s="531"/>
      <c r="I66" s="21"/>
      <c r="L66" s="21"/>
      <c r="M66" s="21"/>
      <c r="N66" s="21"/>
    </row>
    <row r="67" spans="2:14" x14ac:dyDescent="0.25">
      <c r="B67" s="531"/>
      <c r="C67" s="531"/>
      <c r="D67" s="531"/>
      <c r="E67" s="531"/>
      <c r="F67" s="531"/>
      <c r="G67" s="531"/>
      <c r="H67" s="531"/>
      <c r="I67" s="21"/>
      <c r="L67" s="21"/>
      <c r="M67" s="21"/>
      <c r="N67" s="21"/>
    </row>
    <row r="68" spans="2:14" x14ac:dyDescent="0.25">
      <c r="B68" s="531"/>
      <c r="C68" s="531"/>
      <c r="D68" s="531"/>
      <c r="E68" s="531"/>
      <c r="F68" s="531"/>
      <c r="G68" s="531"/>
      <c r="H68" s="531"/>
      <c r="I68" s="21"/>
      <c r="L68" s="21"/>
      <c r="M68" s="21"/>
      <c r="N68" s="21"/>
    </row>
    <row r="69" spans="2:14" x14ac:dyDescent="0.25">
      <c r="B69" s="531"/>
      <c r="C69" s="531"/>
      <c r="D69" s="531"/>
      <c r="E69" s="531"/>
      <c r="F69" s="531"/>
      <c r="G69" s="531"/>
      <c r="H69" s="531"/>
      <c r="I69" s="23"/>
      <c r="L69" s="21"/>
      <c r="M69" s="21"/>
      <c r="N69" s="21"/>
    </row>
    <row r="70" spans="2:14" x14ac:dyDescent="0.25">
      <c r="B70" s="531"/>
      <c r="C70" s="531"/>
      <c r="D70" s="531"/>
      <c r="E70" s="531"/>
      <c r="F70" s="531"/>
      <c r="G70" s="531"/>
      <c r="H70" s="531"/>
      <c r="I70" s="23"/>
      <c r="J70" s="21"/>
      <c r="K70" s="21"/>
      <c r="L70" s="21"/>
      <c r="M70" s="21"/>
      <c r="N70" s="21"/>
    </row>
    <row r="71" spans="2:14" x14ac:dyDescent="0.25">
      <c r="B71" s="531"/>
      <c r="C71" s="531"/>
      <c r="D71" s="531"/>
      <c r="E71" s="531"/>
      <c r="F71" s="531"/>
      <c r="G71" s="531"/>
      <c r="H71" s="531"/>
      <c r="I71" s="21"/>
      <c r="J71" s="21"/>
      <c r="K71" s="21"/>
      <c r="L71" s="21"/>
      <c r="M71" s="21"/>
      <c r="N71" s="21"/>
    </row>
    <row r="72" spans="2:14" x14ac:dyDescent="0.25">
      <c r="B72" s="531"/>
      <c r="C72" s="531"/>
      <c r="D72" s="531"/>
      <c r="E72" s="531"/>
      <c r="F72" s="531"/>
      <c r="G72" s="531"/>
      <c r="H72" s="531"/>
      <c r="I72" s="21"/>
      <c r="J72" s="21"/>
      <c r="K72" s="21"/>
      <c r="L72" s="21"/>
      <c r="M72" s="21"/>
      <c r="N72" s="21"/>
    </row>
    <row r="73" spans="2:14" x14ac:dyDescent="0.25">
      <c r="B73" s="531"/>
      <c r="C73" s="531"/>
      <c r="D73" s="531"/>
      <c r="E73" s="531"/>
      <c r="F73" s="531"/>
      <c r="G73" s="531"/>
      <c r="H73" s="531"/>
      <c r="I73" s="21"/>
      <c r="J73" s="21"/>
      <c r="K73" s="21"/>
      <c r="L73" s="21"/>
      <c r="M73" s="21"/>
      <c r="N73" s="21"/>
    </row>
    <row r="74" spans="2:14" x14ac:dyDescent="0.25">
      <c r="B74" s="531"/>
      <c r="C74" s="531"/>
      <c r="D74" s="531"/>
      <c r="E74" s="531"/>
      <c r="F74" s="531"/>
      <c r="G74" s="531"/>
      <c r="H74" s="531"/>
      <c r="I74" s="21"/>
      <c r="J74" s="21"/>
      <c r="K74" s="21"/>
      <c r="L74" s="21"/>
      <c r="M74" s="21"/>
      <c r="N74" s="21"/>
    </row>
    <row r="75" spans="2:14" x14ac:dyDescent="0.25">
      <c r="B75" s="531"/>
      <c r="C75" s="531"/>
      <c r="D75" s="531"/>
      <c r="E75" s="531"/>
      <c r="F75" s="531"/>
      <c r="G75" s="531"/>
      <c r="H75" s="531"/>
      <c r="I75" s="21"/>
      <c r="J75" s="21"/>
      <c r="K75" s="21"/>
      <c r="L75" s="21"/>
      <c r="M75" s="21"/>
      <c r="N75" s="21"/>
    </row>
    <row r="76" spans="2:14" x14ac:dyDescent="0.25">
      <c r="B76" s="531"/>
      <c r="C76" s="531"/>
      <c r="D76" s="531"/>
      <c r="E76" s="531"/>
      <c r="F76" s="531"/>
      <c r="G76" s="531"/>
      <c r="H76" s="531"/>
      <c r="I76" s="21"/>
      <c r="J76" s="21"/>
      <c r="K76" s="21"/>
      <c r="L76" s="21"/>
      <c r="M76" s="21"/>
      <c r="N76" s="21"/>
    </row>
    <row r="77" spans="2:14" x14ac:dyDescent="0.25">
      <c r="B77" s="531"/>
      <c r="C77" s="531"/>
      <c r="D77" s="531"/>
      <c r="E77" s="531"/>
      <c r="F77" s="531"/>
      <c r="G77" s="531"/>
      <c r="H77" s="531"/>
      <c r="I77" s="21"/>
      <c r="J77" s="21"/>
      <c r="K77" s="21"/>
      <c r="L77" s="21"/>
      <c r="M77" s="21"/>
      <c r="N77" s="21"/>
    </row>
    <row r="78" spans="2:14" x14ac:dyDescent="0.25">
      <c r="B78" s="531"/>
      <c r="C78" s="531"/>
      <c r="D78" s="531"/>
      <c r="E78" s="531"/>
      <c r="F78" s="531"/>
      <c r="G78" s="531"/>
      <c r="H78" s="531"/>
      <c r="I78" s="21"/>
      <c r="J78" s="21"/>
      <c r="K78" s="21"/>
      <c r="L78" s="21"/>
      <c r="M78" s="21"/>
      <c r="N78" s="21"/>
    </row>
    <row r="79" spans="2:14" x14ac:dyDescent="0.25">
      <c r="B79" s="531"/>
      <c r="C79" s="531"/>
      <c r="D79" s="531"/>
      <c r="E79" s="531"/>
      <c r="F79" s="531"/>
      <c r="G79" s="531"/>
      <c r="H79" s="531"/>
      <c r="I79" s="21"/>
      <c r="J79" s="21"/>
      <c r="K79" s="21"/>
      <c r="L79" s="21"/>
      <c r="M79" s="21"/>
      <c r="N79" s="21"/>
    </row>
    <row r="80" spans="2:14" x14ac:dyDescent="0.25">
      <c r="B80" s="531"/>
      <c r="C80" s="531"/>
      <c r="D80" s="531"/>
      <c r="E80" s="531"/>
      <c r="F80" s="531"/>
      <c r="G80" s="531"/>
      <c r="H80" s="531"/>
      <c r="I80" s="21"/>
      <c r="J80" s="21"/>
      <c r="K80" s="21"/>
      <c r="L80" s="21"/>
      <c r="M80" s="21"/>
      <c r="N80" s="21"/>
    </row>
    <row r="81" spans="2:14" x14ac:dyDescent="0.25">
      <c r="B81" s="531"/>
      <c r="C81" s="531"/>
      <c r="D81" s="531"/>
      <c r="E81" s="531"/>
      <c r="F81" s="531"/>
      <c r="G81" s="531"/>
      <c r="H81" s="531"/>
      <c r="I81" s="21"/>
      <c r="K81" s="21"/>
      <c r="L81" s="21"/>
      <c r="M81" s="21"/>
      <c r="N81" s="21"/>
    </row>
    <row r="82" spans="2:14" x14ac:dyDescent="0.25">
      <c r="B82" s="531"/>
      <c r="C82" s="531"/>
      <c r="D82" s="531"/>
      <c r="E82" s="531"/>
      <c r="F82" s="531"/>
      <c r="G82" s="531"/>
      <c r="H82" s="531"/>
      <c r="I82" s="21"/>
      <c r="K82" s="21"/>
      <c r="L82" s="21"/>
      <c r="M82" s="21"/>
      <c r="N82" s="21"/>
    </row>
    <row r="83" spans="2:14" x14ac:dyDescent="0.25">
      <c r="B83" s="531"/>
      <c r="C83" s="531"/>
      <c r="D83" s="531"/>
      <c r="E83" s="531"/>
      <c r="F83" s="531"/>
      <c r="G83" s="531"/>
      <c r="H83" s="531"/>
      <c r="I83" s="21"/>
      <c r="K83" s="21"/>
      <c r="L83" s="21"/>
      <c r="M83" s="21"/>
      <c r="N83" s="21"/>
    </row>
    <row r="84" spans="2:14" x14ac:dyDescent="0.25">
      <c r="B84" s="531"/>
      <c r="C84" s="531"/>
      <c r="D84" s="531"/>
      <c r="E84" s="531"/>
      <c r="F84" s="531"/>
      <c r="G84" s="531"/>
      <c r="H84" s="531"/>
      <c r="I84" s="21"/>
      <c r="K84" s="21"/>
      <c r="L84" s="21"/>
      <c r="M84" s="21"/>
      <c r="N84" s="21"/>
    </row>
    <row r="85" spans="2:14" x14ac:dyDescent="0.25">
      <c r="B85" s="531"/>
      <c r="C85" s="531"/>
      <c r="D85" s="531"/>
      <c r="E85" s="531"/>
      <c r="F85" s="531"/>
      <c r="G85" s="531"/>
      <c r="H85" s="531"/>
      <c r="I85" s="21"/>
      <c r="K85" s="21"/>
      <c r="L85" s="21"/>
      <c r="M85" s="21"/>
      <c r="N85" s="21"/>
    </row>
    <row r="86" spans="2:14" x14ac:dyDescent="0.25">
      <c r="B86" s="531"/>
      <c r="C86" s="531"/>
      <c r="D86" s="531"/>
      <c r="E86" s="531"/>
      <c r="F86" s="531"/>
      <c r="G86" s="531"/>
      <c r="H86" s="531"/>
      <c r="I86" s="21"/>
      <c r="L86" s="21"/>
      <c r="M86" s="21"/>
      <c r="N86" s="21"/>
    </row>
    <row r="87" spans="2:14" x14ac:dyDescent="0.25">
      <c r="B87" s="531"/>
      <c r="C87" s="531"/>
      <c r="D87" s="531"/>
      <c r="E87" s="531"/>
      <c r="F87" s="531"/>
      <c r="G87" s="531"/>
      <c r="H87" s="531"/>
      <c r="I87" s="21"/>
      <c r="L87" s="21"/>
      <c r="M87" s="21"/>
      <c r="N87" s="21"/>
    </row>
    <row r="88" spans="2:14" x14ac:dyDescent="0.25">
      <c r="B88" s="531"/>
      <c r="C88" s="531"/>
      <c r="D88" s="531"/>
      <c r="E88" s="531"/>
      <c r="F88" s="531"/>
      <c r="G88" s="531"/>
      <c r="H88" s="531"/>
      <c r="I88" s="21"/>
    </row>
    <row r="89" spans="2:14" x14ac:dyDescent="0.25">
      <c r="B89" s="531"/>
      <c r="C89" s="531"/>
      <c r="D89" s="531"/>
      <c r="E89" s="531"/>
      <c r="F89" s="531"/>
      <c r="G89" s="531"/>
      <c r="H89" s="531"/>
      <c r="I89" s="21"/>
    </row>
    <row r="90" spans="2:14" x14ac:dyDescent="0.25">
      <c r="B90" s="531"/>
      <c r="C90" s="531"/>
      <c r="D90" s="531"/>
      <c r="E90" s="531"/>
      <c r="F90" s="531"/>
      <c r="G90" s="531"/>
      <c r="H90" s="531"/>
      <c r="I90" s="21"/>
    </row>
    <row r="91" spans="2:14" x14ac:dyDescent="0.25">
      <c r="B91" s="531"/>
      <c r="C91" s="531"/>
      <c r="D91" s="531"/>
      <c r="E91" s="531"/>
      <c r="F91" s="531"/>
      <c r="G91" s="531"/>
      <c r="H91" s="531"/>
      <c r="I91" s="21"/>
    </row>
    <row r="92" spans="2:14" x14ac:dyDescent="0.25">
      <c r="B92" s="531"/>
      <c r="C92" s="531"/>
      <c r="D92" s="531"/>
      <c r="E92" s="531"/>
      <c r="F92" s="531"/>
      <c r="G92" s="531"/>
      <c r="H92" s="531"/>
      <c r="I92" s="21"/>
    </row>
    <row r="93" spans="2:14" x14ac:dyDescent="0.25">
      <c r="B93" s="531"/>
      <c r="C93" s="531"/>
      <c r="D93" s="531"/>
      <c r="E93" s="531"/>
      <c r="F93" s="531"/>
      <c r="G93" s="531"/>
      <c r="H93" s="531"/>
      <c r="I93" s="21"/>
    </row>
    <row r="94" spans="2:14" x14ac:dyDescent="0.25">
      <c r="B94" s="531"/>
      <c r="C94" s="531"/>
      <c r="D94" s="531"/>
      <c r="E94" s="531"/>
      <c r="F94" s="531"/>
      <c r="G94" s="531"/>
      <c r="H94" s="531"/>
    </row>
    <row r="95" spans="2:14" x14ac:dyDescent="0.25">
      <c r="B95" s="531"/>
      <c r="C95" s="531"/>
      <c r="D95" s="531"/>
      <c r="E95" s="531"/>
      <c r="F95" s="531"/>
      <c r="G95" s="531"/>
      <c r="H95" s="531"/>
    </row>
    <row r="96" spans="2:14" x14ac:dyDescent="0.25">
      <c r="B96" s="531"/>
      <c r="C96" s="531"/>
      <c r="D96" s="531"/>
      <c r="E96" s="531"/>
      <c r="F96" s="531"/>
      <c r="G96" s="531"/>
      <c r="H96" s="531"/>
    </row>
    <row r="97" spans="2:8" x14ac:dyDescent="0.25">
      <c r="B97" s="531"/>
      <c r="C97" s="531"/>
      <c r="D97" s="531"/>
      <c r="E97" s="531"/>
      <c r="F97" s="531"/>
      <c r="G97" s="531"/>
      <c r="H97" s="531"/>
    </row>
    <row r="98" spans="2:8" x14ac:dyDescent="0.25">
      <c r="B98" s="531"/>
      <c r="C98" s="531"/>
      <c r="D98" s="531"/>
      <c r="E98" s="531"/>
      <c r="F98" s="531"/>
      <c r="G98" s="531"/>
      <c r="H98" s="531"/>
    </row>
    <row r="99" spans="2:8" x14ac:dyDescent="0.25">
      <c r="B99" s="531"/>
      <c r="C99" s="531"/>
      <c r="D99" s="531"/>
      <c r="E99" s="531"/>
      <c r="F99" s="531"/>
      <c r="G99" s="531"/>
      <c r="H99" s="531"/>
    </row>
    <row r="100" spans="2:8" x14ac:dyDescent="0.25">
      <c r="B100" s="531"/>
      <c r="C100" s="531"/>
      <c r="D100" s="531"/>
      <c r="E100" s="531"/>
      <c r="F100" s="531"/>
      <c r="G100" s="531"/>
      <c r="H100" s="531"/>
    </row>
    <row r="101" spans="2:8" x14ac:dyDescent="0.25">
      <c r="B101" s="531"/>
      <c r="C101" s="531"/>
      <c r="D101" s="531"/>
      <c r="E101" s="531"/>
      <c r="F101" s="531"/>
      <c r="G101" s="531"/>
      <c r="H101" s="531"/>
    </row>
    <row r="102" spans="2:8" x14ac:dyDescent="0.25">
      <c r="B102" s="531"/>
      <c r="C102" s="531"/>
      <c r="D102" s="531"/>
      <c r="E102" s="531"/>
      <c r="F102" s="531"/>
      <c r="G102" s="531"/>
      <c r="H102" s="531"/>
    </row>
    <row r="103" spans="2:8" x14ac:dyDescent="0.25">
      <c r="B103" s="531"/>
      <c r="C103" s="531"/>
      <c r="D103" s="531"/>
      <c r="E103" s="531"/>
      <c r="F103" s="531"/>
      <c r="G103" s="531"/>
      <c r="H103" s="531"/>
    </row>
    <row r="104" spans="2:8" x14ac:dyDescent="0.25">
      <c r="B104" s="531"/>
      <c r="C104" s="531"/>
      <c r="D104" s="531"/>
      <c r="E104" s="531"/>
      <c r="F104" s="531"/>
      <c r="G104" s="531"/>
      <c r="H104" s="531"/>
    </row>
    <row r="105" spans="2:8" x14ac:dyDescent="0.25">
      <c r="B105" s="531"/>
      <c r="C105" s="531"/>
      <c r="D105" s="531"/>
      <c r="E105" s="531"/>
      <c r="F105" s="531"/>
      <c r="G105" s="531"/>
      <c r="H105" s="531"/>
    </row>
    <row r="106" spans="2:8" x14ac:dyDescent="0.25">
      <c r="B106" s="531"/>
      <c r="C106" s="531"/>
      <c r="D106" s="531"/>
      <c r="E106" s="531"/>
      <c r="F106" s="531"/>
      <c r="G106" s="531"/>
      <c r="H106" s="531"/>
    </row>
    <row r="107" spans="2:8" x14ac:dyDescent="0.25">
      <c r="B107" s="531"/>
      <c r="C107" s="531"/>
      <c r="D107" s="531"/>
      <c r="E107" s="531"/>
      <c r="F107" s="531"/>
      <c r="G107" s="531"/>
      <c r="H107" s="531"/>
    </row>
    <row r="108" spans="2:8" x14ac:dyDescent="0.25">
      <c r="B108" s="531"/>
      <c r="C108" s="531"/>
      <c r="D108" s="531"/>
      <c r="E108" s="531"/>
      <c r="F108" s="531"/>
      <c r="G108" s="531"/>
      <c r="H108" s="531"/>
    </row>
    <row r="109" spans="2:8" x14ac:dyDescent="0.25">
      <c r="B109" s="531"/>
      <c r="C109" s="531"/>
      <c r="D109" s="531"/>
      <c r="E109" s="531"/>
      <c r="F109" s="531"/>
      <c r="G109" s="531"/>
      <c r="H109" s="531"/>
    </row>
    <row r="110" spans="2:8" x14ac:dyDescent="0.25">
      <c r="B110" s="531"/>
      <c r="C110" s="531"/>
      <c r="D110" s="531"/>
      <c r="E110" s="531"/>
      <c r="F110" s="531"/>
      <c r="G110" s="531"/>
      <c r="H110" s="531"/>
    </row>
    <row r="111" spans="2:8" x14ac:dyDescent="0.25">
      <c r="B111" s="531"/>
      <c r="C111" s="531"/>
      <c r="D111" s="531"/>
      <c r="E111" s="531"/>
      <c r="F111" s="531"/>
      <c r="G111" s="531"/>
      <c r="H111" s="531"/>
    </row>
    <row r="112" spans="2:8" x14ac:dyDescent="0.25">
      <c r="B112" s="531"/>
      <c r="C112" s="531"/>
      <c r="D112" s="531"/>
      <c r="E112" s="531"/>
      <c r="F112" s="531"/>
      <c r="G112" s="531"/>
      <c r="H112" s="531"/>
    </row>
    <row r="113" spans="2:8" x14ac:dyDescent="0.25">
      <c r="B113" s="531"/>
      <c r="C113" s="531"/>
      <c r="D113" s="531"/>
      <c r="E113" s="531"/>
      <c r="F113" s="531"/>
      <c r="G113" s="531"/>
      <c r="H113" s="531"/>
    </row>
    <row r="114" spans="2:8" x14ac:dyDescent="0.25">
      <c r="B114" s="531"/>
      <c r="C114" s="531"/>
      <c r="D114" s="531"/>
      <c r="E114" s="531"/>
      <c r="F114" s="531"/>
      <c r="G114" s="531"/>
      <c r="H114" s="531"/>
    </row>
    <row r="115" spans="2:8" x14ac:dyDescent="0.25">
      <c r="B115" s="531"/>
      <c r="C115" s="531"/>
      <c r="D115" s="531"/>
      <c r="E115" s="531"/>
      <c r="F115" s="531"/>
      <c r="G115" s="531"/>
      <c r="H115" s="531"/>
    </row>
    <row r="116" spans="2:8" ht="9" customHeight="1" x14ac:dyDescent="0.25">
      <c r="B116" s="531"/>
      <c r="C116" s="531"/>
      <c r="D116" s="531"/>
      <c r="E116" s="531"/>
      <c r="F116" s="531"/>
      <c r="G116" s="531"/>
      <c r="H116" s="531"/>
    </row>
    <row r="117" spans="2:8" ht="20.25" hidden="1" customHeight="1" x14ac:dyDescent="0.25">
      <c r="B117" s="368" t="s">
        <v>1911</v>
      </c>
      <c r="C117" s="22" t="s">
        <v>2041</v>
      </c>
      <c r="D117" s="22" t="str">
        <f ca="1">INFO("SYSTEM")</f>
        <v>pcdos</v>
      </c>
      <c r="E117" s="22" t="str">
        <f ca="1">INFO("OSVERSION")</f>
        <v>Windows (32-bit) NT 10.00</v>
      </c>
      <c r="F117" s="22" t="str">
        <f ca="1">INFO("RELEASE")</f>
        <v>16.0</v>
      </c>
      <c r="G117" s="22"/>
      <c r="H117" s="86"/>
    </row>
    <row r="118" spans="2:8" x14ac:dyDescent="0.25">
      <c r="B118" s="86"/>
      <c r="C118" s="86"/>
      <c r="D118" s="22"/>
      <c r="E118" s="22"/>
      <c r="F118" s="22"/>
      <c r="G118" s="22"/>
      <c r="H118" s="86"/>
    </row>
    <row r="119" spans="2:8" x14ac:dyDescent="0.25">
      <c r="B119" s="86"/>
      <c r="C119" s="86"/>
      <c r="D119" s="86"/>
      <c r="E119" s="86"/>
      <c r="F119" s="86"/>
      <c r="G119" s="86"/>
      <c r="H119" s="86"/>
    </row>
    <row r="120" spans="2:8" x14ac:dyDescent="0.25">
      <c r="B120" s="86"/>
      <c r="D120" s="86"/>
      <c r="E120" s="86"/>
      <c r="F120" s="86"/>
      <c r="G120" s="86"/>
      <c r="H120" s="86"/>
    </row>
    <row r="121" spans="2:8" x14ac:dyDescent="0.25">
      <c r="B121" s="86"/>
      <c r="D121" s="86"/>
      <c r="E121" s="86"/>
      <c r="F121" s="86"/>
      <c r="G121" s="86"/>
      <c r="H121" s="86"/>
    </row>
  </sheetData>
  <sheetProtection password="A656" sheet="1" formatCells="0" formatColumns="0" formatRows="0" selectLockedCells="1"/>
  <mergeCells count="19">
    <mergeCell ref="J18:K19"/>
    <mergeCell ref="B34:H35"/>
    <mergeCell ref="B5:H14"/>
    <mergeCell ref="F18:F19"/>
    <mergeCell ref="B50:H116"/>
    <mergeCell ref="B48:H49"/>
    <mergeCell ref="B42:H46"/>
    <mergeCell ref="B15:H15"/>
    <mergeCell ref="B16:H16"/>
    <mergeCell ref="B27:H28"/>
    <mergeCell ref="G29:H29"/>
    <mergeCell ref="D29:F29"/>
    <mergeCell ref="G18:H19"/>
    <mergeCell ref="G23:H25"/>
    <mergeCell ref="B36:F40"/>
    <mergeCell ref="G36:H40"/>
    <mergeCell ref="B31:H32"/>
    <mergeCell ref="B30:H30"/>
    <mergeCell ref="B18:D19"/>
  </mergeCells>
  <conditionalFormatting sqref="F18">
    <cfRule type="containsText" dxfId="138" priority="43" operator="containsText" text="Off">
      <formula>NOT(ISERROR(SEARCH("Off",F18)))</formula>
    </cfRule>
    <cfRule type="containsText" dxfId="137" priority="44" operator="containsText" text="On">
      <formula>NOT(ISERROR(SEARCH("On",F18)))</formula>
    </cfRule>
  </conditionalFormatting>
  <conditionalFormatting sqref="I52 I54:I67">
    <cfRule type="containsText" dxfId="136" priority="39" operator="containsText" text="Off">
      <formula>NOT(ISERROR(SEARCH("Off",I52)))</formula>
    </cfRule>
    <cfRule type="containsText" dxfId="135" priority="40" operator="containsText" text="On">
      <formula>NOT(ISERROR(SEARCH("On",I52)))</formula>
    </cfRule>
  </conditionalFormatting>
  <conditionalFormatting sqref="B48">
    <cfRule type="expression" dxfId="134" priority="23">
      <formula>$C49="On"</formula>
    </cfRule>
    <cfRule type="expression" dxfId="133" priority="24">
      <formula>$C49="Off"</formula>
    </cfRule>
  </conditionalFormatting>
  <conditionalFormatting sqref="J20">
    <cfRule type="expression" dxfId="132" priority="95">
      <formula>$J21="On"</formula>
    </cfRule>
    <cfRule type="expression" dxfId="131" priority="96">
      <formula>$J21="Off"</formula>
    </cfRule>
  </conditionalFormatting>
  <conditionalFormatting sqref="C20:C25">
    <cfRule type="expression" dxfId="130" priority="5">
      <formula>AND(C20="Include",D20="Valid")</formula>
    </cfRule>
    <cfRule type="expression" dxfId="129" priority="6">
      <formula>AND(D20="Empty",C20="Include")</formula>
    </cfRule>
    <cfRule type="expression" dxfId="128" priority="11">
      <formula>AND(C20="Include", E20="Upload anyway")</formula>
    </cfRule>
    <cfRule type="expression" dxfId="127" priority="16">
      <formula>AND(C20="Include",D20="Invalid")</formula>
    </cfRule>
  </conditionalFormatting>
  <conditionalFormatting sqref="F20:F25">
    <cfRule type="expression" dxfId="126" priority="14">
      <formula>$E20="Unprocessable"</formula>
    </cfRule>
  </conditionalFormatting>
  <conditionalFormatting sqref="G18 B18">
    <cfRule type="expression" dxfId="125" priority="629">
      <formula>$H18="On"</formula>
    </cfRule>
    <cfRule type="expression" dxfId="124" priority="630">
      <formula>$H18="Off"</formula>
    </cfRule>
  </conditionalFormatting>
  <conditionalFormatting sqref="B34">
    <cfRule type="expression" dxfId="123" priority="631">
      <formula>$C34="On"</formula>
    </cfRule>
    <cfRule type="expression" dxfId="122" priority="632">
      <formula>$C34="Off"</formula>
    </cfRule>
  </conditionalFormatting>
  <conditionalFormatting sqref="D20:D25">
    <cfRule type="expression" dxfId="121" priority="1">
      <formula>D20="Empty"</formula>
    </cfRule>
    <cfRule type="expression" dxfId="120" priority="2">
      <formula>AND(C20="Include",D20="Valid")</formula>
    </cfRule>
    <cfRule type="expression" dxfId="119" priority="3">
      <formula>AND(D20="Invalid",E20="Upload anyway")</formula>
    </cfRule>
    <cfRule type="expression" dxfId="118" priority="4">
      <formula>D20="Invalid"</formula>
    </cfRule>
    <cfRule type="expression" dxfId="117" priority="15">
      <formula>$D20="Invalid"</formula>
    </cfRule>
  </conditionalFormatting>
  <conditionalFormatting sqref="D29:F29">
    <cfRule type="expression" dxfId="116" priority="7">
      <formula>AND(LEN(SUM_OVR_RES)&lt;8,SUM_OVE_VALID="Allow invalid sheet upload")</formula>
    </cfRule>
  </conditionalFormatting>
  <dataValidations xWindow="596" yWindow="631" count="6">
    <dataValidation allowBlank="1" sqref="M19:N19 J24:J25 J41:J42 K22 B42 J20:J21 L18:N18 B47:B48 I48:I77 K14:K17 F47:G47 J27:J28 K54 N14:O17 J38 O22:O51 A14:A53 L20:N71" xr:uid="{00000000-0002-0000-0000-000000000000}"/>
    <dataValidation type="list" allowBlank="1" showInputMessage="1" showErrorMessage="1" error="Select from dropdown" sqref="C20:C25" xr:uid="{00000000-0002-0000-0000-000001000000}">
      <formula1>"Include, Don't include"</formula1>
    </dataValidation>
    <dataValidation type="date" allowBlank="1" sqref="K21" xr:uid="{00000000-0002-0000-0000-000002000000}">
      <formula1>42370</formula1>
      <formula2>73051</formula2>
    </dataValidation>
    <dataValidation allowBlank="1" showInputMessage="1" showErrorMessage="1" errorTitle="Error" error="Invalid date" promptTitle="Date time format" prompt="dd/mm/yyyy hh:mm _x000a_(24 hour format)" sqref="H22" xr:uid="{00000000-0002-0000-0000-000003000000}"/>
    <dataValidation type="textLength" allowBlank="1" showInputMessage="1" showErrorMessage="1" errorTitle="Data Provider" error="Must be between 3 and 32 characters" promptTitle="Data Provider" prompt="The person or entity completing or responsible for the data" sqref="H21" xr:uid="{00000000-0002-0000-0000-000004000000}">
      <formula1>3</formula1>
      <formula2>32</formula2>
    </dataValidation>
    <dataValidation type="textLength" allowBlank="1" showInputMessage="1" showErrorMessage="1" error="Must be between 8 and 1000 characters" promptTitle="Validation override reason" prompt="The reason that the workbook is not valid, but should be accepted anyway" sqref="B31:H32" xr:uid="{00000000-0002-0000-0000-000005000000}">
      <formula1>8</formula1>
      <formula2>1000</formula2>
    </dataValidation>
  </dataValidations>
  <hyperlinks>
    <hyperlink ref="J25" r:id="rId1" xr:uid="{00000000-0004-0000-0000-000000000000}"/>
    <hyperlink ref="J31" r:id="rId2" xr:uid="{00000000-0004-0000-0000-000001000000}"/>
    <hyperlink ref="J37" r:id="rId3" xr:uid="{00000000-0004-0000-0000-000002000000}"/>
    <hyperlink ref="J40" r:id="rId4" xr:uid="{00000000-0004-0000-0000-000003000000}"/>
    <hyperlink ref="B16" r:id="rId5" xr:uid="{00000000-0004-0000-0000-000005000000}"/>
    <hyperlink ref="J34" r:id="rId6" xr:uid="{F12E63DF-D85F-4016-8A93-2D6C4E321AE0}"/>
  </hyperlinks>
  <pageMargins left="0.23622047244094488" right="0.23622047244094488" top="0.39370078740157483" bottom="0.39370078740157483" header="0.31496062992125984" footer="0.31496062992125984"/>
  <pageSetup paperSize="9" scale="84" fitToHeight="0" orientation="landscape" r:id="rId7"/>
  <drawing r:id="rId8"/>
  <extLst>
    <ext xmlns:x14="http://schemas.microsoft.com/office/spreadsheetml/2009/9/main" uri="{CCE6A557-97BC-4b89-ADB6-D9C93CAAB3DF}">
      <x14:dataValidations xmlns:xm="http://schemas.microsoft.com/office/excel/2006/main" xWindow="596" yWindow="631" count="1">
        <x14:dataValidation type="list" showInputMessage="1" showErrorMessage="1" error="Select from dropdown" xr:uid="{00000000-0002-0000-0000-000007000000}">
          <x14:formula1>
            <xm:f>OFFSET('Tmp data'!$C$8,0,0,2-COUNTBLANK(TMP_SUM_ALLOW),1)</xm:f>
          </x14:formula1>
          <xm:sqref>D29:F29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5"/>
  <dimension ref="A1:AP330"/>
  <sheetViews>
    <sheetView topLeftCell="AG1" zoomScale="85" zoomScaleNormal="85" workbookViewId="0">
      <pane ySplit="1" topLeftCell="A2" activePane="bottomLeft" state="frozen"/>
      <selection pane="bottomLeft" activeCell="AK31" sqref="AK31"/>
    </sheetView>
  </sheetViews>
  <sheetFormatPr defaultRowHeight="12" customHeight="1" x14ac:dyDescent="0.25"/>
  <cols>
    <col min="1" max="6" width="30.453125" customWidth="1"/>
    <col min="7" max="7" width="21.26953125" customWidth="1"/>
    <col min="8" max="8" width="31.7265625" customWidth="1"/>
    <col min="9" max="9" width="21.26953125" customWidth="1"/>
    <col min="10" max="10" width="25.7265625" customWidth="1"/>
    <col min="11" max="11" width="19.26953125" customWidth="1"/>
    <col min="12" max="12" width="29.26953125" customWidth="1"/>
    <col min="13" max="13" width="19.1796875" customWidth="1"/>
    <col min="14" max="14" width="33.453125" customWidth="1"/>
    <col min="15" max="15" width="9.7265625" customWidth="1"/>
    <col min="16" max="16" width="62.7265625" customWidth="1"/>
    <col min="17" max="17" width="20.54296875" customWidth="1"/>
    <col min="18" max="18" width="19.7265625" customWidth="1"/>
    <col min="19" max="19" width="33" customWidth="1"/>
    <col min="20" max="20" width="7.7265625" customWidth="1"/>
    <col min="21" max="21" width="19.81640625" customWidth="1"/>
    <col min="22" max="22" width="14.453125" customWidth="1"/>
    <col min="23" max="23" width="14.81640625" customWidth="1"/>
    <col min="24" max="24" width="15.453125" customWidth="1"/>
    <col min="25" max="32" width="30.1796875" customWidth="1"/>
    <col min="33" max="33" width="47.54296875" customWidth="1"/>
    <col min="34" max="34" width="30.1796875" customWidth="1"/>
    <col min="36" max="36" width="31.26953125" customWidth="1"/>
    <col min="37" max="37" width="10.7265625" customWidth="1"/>
    <col min="38" max="38" width="67" customWidth="1"/>
    <col min="39" max="39" width="11.1796875" customWidth="1"/>
    <col min="40" max="40" width="44" customWidth="1"/>
    <col min="41" max="41" width="22.7265625" bestFit="1" customWidth="1"/>
  </cols>
  <sheetData>
    <row r="1" spans="1:42" ht="12" customHeight="1" x14ac:dyDescent="0.25">
      <c r="A1" t="s">
        <v>19</v>
      </c>
      <c r="B1" t="s">
        <v>42</v>
      </c>
      <c r="C1" t="s">
        <v>62</v>
      </c>
      <c r="D1" t="s">
        <v>74</v>
      </c>
      <c r="E1" t="s">
        <v>81</v>
      </c>
      <c r="F1" t="s">
        <v>82</v>
      </c>
      <c r="G1" t="s">
        <v>85</v>
      </c>
      <c r="H1" t="s">
        <v>110</v>
      </c>
      <c r="I1" t="s">
        <v>111</v>
      </c>
      <c r="J1" t="s">
        <v>387</v>
      </c>
      <c r="K1" t="s">
        <v>388</v>
      </c>
      <c r="L1" t="s">
        <v>395</v>
      </c>
      <c r="M1" t="s">
        <v>399</v>
      </c>
      <c r="N1" t="s">
        <v>44</v>
      </c>
      <c r="O1" t="s">
        <v>18</v>
      </c>
      <c r="P1" t="s">
        <v>578</v>
      </c>
      <c r="Q1" t="s">
        <v>581</v>
      </c>
      <c r="R1" t="s">
        <v>582</v>
      </c>
      <c r="S1" t="s">
        <v>57</v>
      </c>
      <c r="T1" t="s">
        <v>585</v>
      </c>
      <c r="U1" t="s">
        <v>578</v>
      </c>
      <c r="V1" t="s">
        <v>587</v>
      </c>
      <c r="W1" t="s">
        <v>588</v>
      </c>
      <c r="X1" t="s">
        <v>83</v>
      </c>
      <c r="Y1" t="s">
        <v>624</v>
      </c>
      <c r="Z1" t="s">
        <v>591</v>
      </c>
      <c r="AA1" t="s">
        <v>592</v>
      </c>
      <c r="AB1" t="s">
        <v>593</v>
      </c>
      <c r="AC1" t="s">
        <v>638</v>
      </c>
      <c r="AD1" t="s">
        <v>594</v>
      </c>
      <c r="AE1" t="s">
        <v>621</v>
      </c>
      <c r="AF1" t="s">
        <v>684</v>
      </c>
      <c r="AG1" t="s">
        <v>628</v>
      </c>
      <c r="AH1" t="s">
        <v>629</v>
      </c>
      <c r="AJ1" t="s">
        <v>671</v>
      </c>
      <c r="AK1" t="s">
        <v>18</v>
      </c>
      <c r="AL1" t="s">
        <v>578</v>
      </c>
      <c r="AM1" t="s">
        <v>683</v>
      </c>
      <c r="AN1" t="s">
        <v>1246</v>
      </c>
      <c r="AO1" t="s">
        <v>2049</v>
      </c>
      <c r="AP1" t="s">
        <v>2050</v>
      </c>
    </row>
    <row r="2" spans="1:42" ht="12" customHeight="1" x14ac:dyDescent="0.25">
      <c r="A2" t="s">
        <v>20</v>
      </c>
      <c r="B2" t="s">
        <v>8</v>
      </c>
      <c r="C2" t="s">
        <v>79</v>
      </c>
      <c r="D2" t="s">
        <v>75</v>
      </c>
      <c r="E2">
        <v>1</v>
      </c>
      <c r="F2" t="s">
        <v>83</v>
      </c>
      <c r="G2" t="s">
        <v>1929</v>
      </c>
      <c r="H2" t="s">
        <v>86</v>
      </c>
      <c r="I2" t="s">
        <v>112</v>
      </c>
      <c r="J2" t="s">
        <v>116</v>
      </c>
      <c r="K2" t="s">
        <v>117</v>
      </c>
      <c r="L2" t="s">
        <v>390</v>
      </c>
      <c r="M2" t="s">
        <v>396</v>
      </c>
      <c r="N2" t="s">
        <v>464</v>
      </c>
      <c r="O2">
        <v>551</v>
      </c>
      <c r="P2" t="s">
        <v>465</v>
      </c>
      <c r="Q2" t="s">
        <v>579</v>
      </c>
      <c r="R2" t="s">
        <v>619</v>
      </c>
      <c r="S2" t="s">
        <v>115</v>
      </c>
      <c r="T2" t="s">
        <v>1404</v>
      </c>
      <c r="U2" t="s">
        <v>1404</v>
      </c>
      <c r="V2">
        <v>29221</v>
      </c>
      <c r="W2">
        <v>54789</v>
      </c>
      <c r="X2" t="s">
        <v>83</v>
      </c>
      <c r="Y2" t="s">
        <v>625</v>
      </c>
      <c r="Z2" t="s">
        <v>1427</v>
      </c>
      <c r="AA2" t="s">
        <v>595</v>
      </c>
      <c r="AB2" t="s">
        <v>593</v>
      </c>
      <c r="AC2" t="s">
        <v>1395</v>
      </c>
      <c r="AD2" t="s">
        <v>1396</v>
      </c>
      <c r="AE2" t="s">
        <v>1385</v>
      </c>
      <c r="AF2" t="b">
        <v>1</v>
      </c>
      <c r="AG2" t="s">
        <v>1426</v>
      </c>
      <c r="AH2">
        <v>1100</v>
      </c>
      <c r="AJ2" t="s">
        <v>641</v>
      </c>
      <c r="AK2">
        <v>1</v>
      </c>
      <c r="AL2" t="s">
        <v>642</v>
      </c>
      <c r="AM2" t="s">
        <v>718</v>
      </c>
      <c r="AN2" t="s">
        <v>719</v>
      </c>
      <c r="AO2" t="s">
        <v>2051</v>
      </c>
      <c r="AP2" t="s">
        <v>2052</v>
      </c>
    </row>
    <row r="3" spans="1:42" ht="12" customHeight="1" x14ac:dyDescent="0.25">
      <c r="A3" t="s">
        <v>21</v>
      </c>
      <c r="B3" t="s">
        <v>16</v>
      </c>
      <c r="C3" t="s">
        <v>80</v>
      </c>
      <c r="D3" t="s">
        <v>76</v>
      </c>
      <c r="E3">
        <v>2</v>
      </c>
      <c r="F3" t="s">
        <v>84</v>
      </c>
      <c r="G3" t="s">
        <v>1930</v>
      </c>
      <c r="H3" t="s">
        <v>87</v>
      </c>
      <c r="I3" t="s">
        <v>113</v>
      </c>
      <c r="J3" t="s">
        <v>118</v>
      </c>
      <c r="K3" t="s">
        <v>117</v>
      </c>
      <c r="L3" t="s">
        <v>391</v>
      </c>
      <c r="M3" t="s">
        <v>397</v>
      </c>
      <c r="N3" t="s">
        <v>482</v>
      </c>
      <c r="O3">
        <v>60</v>
      </c>
      <c r="P3" t="s">
        <v>483</v>
      </c>
      <c r="Q3" t="s">
        <v>580</v>
      </c>
      <c r="R3" t="s">
        <v>620</v>
      </c>
      <c r="S3" t="s">
        <v>584</v>
      </c>
      <c r="T3" t="s">
        <v>586</v>
      </c>
      <c r="U3" t="s">
        <v>586</v>
      </c>
      <c r="Y3" t="s">
        <v>593</v>
      </c>
      <c r="Z3" t="s">
        <v>1426</v>
      </c>
      <c r="AA3" t="s">
        <v>600</v>
      </c>
      <c r="AC3" t="s">
        <v>597</v>
      </c>
      <c r="AD3" t="s">
        <v>598</v>
      </c>
      <c r="AE3" t="s">
        <v>1386</v>
      </c>
      <c r="AF3" t="b">
        <v>0</v>
      </c>
      <c r="AG3" t="s">
        <v>1427</v>
      </c>
      <c r="AH3">
        <v>1200</v>
      </c>
      <c r="AJ3" t="s">
        <v>643</v>
      </c>
      <c r="AK3">
        <v>2</v>
      </c>
      <c r="AL3" t="s">
        <v>644</v>
      </c>
      <c r="AM3" t="s">
        <v>720</v>
      </c>
      <c r="AN3" t="s">
        <v>721</v>
      </c>
      <c r="AO3" t="s">
        <v>2053</v>
      </c>
      <c r="AP3" t="s">
        <v>2054</v>
      </c>
    </row>
    <row r="4" spans="1:42" ht="12" customHeight="1" x14ac:dyDescent="0.25">
      <c r="A4" t="s">
        <v>4</v>
      </c>
      <c r="B4" t="s">
        <v>14</v>
      </c>
      <c r="E4">
        <v>3</v>
      </c>
      <c r="G4" t="s">
        <v>1931</v>
      </c>
      <c r="H4" t="s">
        <v>88</v>
      </c>
      <c r="I4" t="s">
        <v>114</v>
      </c>
      <c r="J4" t="s">
        <v>119</v>
      </c>
      <c r="K4" t="s">
        <v>120</v>
      </c>
      <c r="L4" t="s">
        <v>392</v>
      </c>
      <c r="M4" t="s">
        <v>398</v>
      </c>
      <c r="N4" t="s">
        <v>423</v>
      </c>
      <c r="O4">
        <v>515</v>
      </c>
      <c r="P4" t="s">
        <v>424</v>
      </c>
      <c r="S4" t="s">
        <v>583</v>
      </c>
      <c r="T4" t="s">
        <v>77</v>
      </c>
      <c r="U4" t="s">
        <v>77</v>
      </c>
      <c r="Y4" t="s">
        <v>592</v>
      </c>
      <c r="Z4" t="s">
        <v>599</v>
      </c>
      <c r="AA4" t="s">
        <v>596</v>
      </c>
      <c r="AC4" t="s">
        <v>1400</v>
      </c>
      <c r="AD4" t="s">
        <v>601</v>
      </c>
      <c r="AE4" t="s">
        <v>1387</v>
      </c>
      <c r="AG4" t="s">
        <v>599</v>
      </c>
      <c r="AH4">
        <v>1301</v>
      </c>
      <c r="AJ4" t="s">
        <v>645</v>
      </c>
      <c r="AK4">
        <v>3</v>
      </c>
      <c r="AL4" t="s">
        <v>646</v>
      </c>
      <c r="AM4" t="s">
        <v>722</v>
      </c>
      <c r="AN4" t="s">
        <v>1251</v>
      </c>
      <c r="AO4" t="s">
        <v>2055</v>
      </c>
      <c r="AP4" t="s">
        <v>2056</v>
      </c>
    </row>
    <row r="5" spans="1:42" ht="12" customHeight="1" x14ac:dyDescent="0.25">
      <c r="A5" t="s">
        <v>22</v>
      </c>
      <c r="B5" t="s">
        <v>15</v>
      </c>
      <c r="H5" t="s">
        <v>89</v>
      </c>
      <c r="I5" t="s">
        <v>115</v>
      </c>
      <c r="J5" t="s">
        <v>121</v>
      </c>
      <c r="K5" t="s">
        <v>122</v>
      </c>
      <c r="L5" t="s">
        <v>393</v>
      </c>
      <c r="N5" t="s">
        <v>564</v>
      </c>
      <c r="O5">
        <v>84</v>
      </c>
      <c r="P5" t="s">
        <v>565</v>
      </c>
      <c r="Y5" t="s">
        <v>626</v>
      </c>
      <c r="Z5" t="s">
        <v>1399</v>
      </c>
      <c r="AA5" t="s">
        <v>602</v>
      </c>
      <c r="AD5" t="s">
        <v>603</v>
      </c>
      <c r="AE5" t="s">
        <v>1388</v>
      </c>
      <c r="AG5" t="s">
        <v>1399</v>
      </c>
      <c r="AH5">
        <v>1300</v>
      </c>
      <c r="AJ5" t="s">
        <v>647</v>
      </c>
      <c r="AK5">
        <v>4</v>
      </c>
      <c r="AL5" t="s">
        <v>648</v>
      </c>
      <c r="AM5" t="s">
        <v>723</v>
      </c>
      <c r="AN5" t="s">
        <v>1252</v>
      </c>
      <c r="AO5" t="s">
        <v>2057</v>
      </c>
      <c r="AP5" t="s">
        <v>2058</v>
      </c>
    </row>
    <row r="6" spans="1:42" ht="12" customHeight="1" x14ac:dyDescent="0.25">
      <c r="A6" t="s">
        <v>23</v>
      </c>
      <c r="B6" t="s">
        <v>43</v>
      </c>
      <c r="H6" t="s">
        <v>90</v>
      </c>
      <c r="J6" t="s">
        <v>135</v>
      </c>
      <c r="K6" t="s">
        <v>136</v>
      </c>
      <c r="L6" t="s">
        <v>394</v>
      </c>
      <c r="N6" t="s">
        <v>433</v>
      </c>
      <c r="O6">
        <v>52</v>
      </c>
      <c r="P6" t="s">
        <v>434</v>
      </c>
      <c r="Y6" t="s">
        <v>627</v>
      </c>
      <c r="AA6" t="s">
        <v>604</v>
      </c>
      <c r="AD6" t="s">
        <v>1401</v>
      </c>
      <c r="AE6" t="s">
        <v>1389</v>
      </c>
      <c r="AG6" t="s">
        <v>595</v>
      </c>
      <c r="AH6">
        <v>2100</v>
      </c>
      <c r="AJ6" t="s">
        <v>649</v>
      </c>
      <c r="AK6">
        <v>5</v>
      </c>
      <c r="AL6" t="s">
        <v>650</v>
      </c>
      <c r="AM6" t="s">
        <v>724</v>
      </c>
      <c r="AN6" t="s">
        <v>1253</v>
      </c>
      <c r="AO6" t="s">
        <v>2059</v>
      </c>
      <c r="AP6" t="s">
        <v>2060</v>
      </c>
    </row>
    <row r="7" spans="1:42" ht="12" customHeight="1" x14ac:dyDescent="0.25">
      <c r="A7" t="s">
        <v>10</v>
      </c>
      <c r="H7" t="s">
        <v>91</v>
      </c>
      <c r="J7" t="s">
        <v>145</v>
      </c>
      <c r="K7" t="s">
        <v>146</v>
      </c>
      <c r="N7" t="s">
        <v>516</v>
      </c>
      <c r="O7">
        <v>727</v>
      </c>
      <c r="P7" t="s">
        <v>517</v>
      </c>
      <c r="AA7" t="s">
        <v>605</v>
      </c>
      <c r="AD7" t="s">
        <v>606</v>
      </c>
      <c r="AE7" t="s">
        <v>1390</v>
      </c>
      <c r="AG7" t="s">
        <v>596</v>
      </c>
      <c r="AH7">
        <v>2200</v>
      </c>
      <c r="AJ7" t="s">
        <v>651</v>
      </c>
      <c r="AK7">
        <v>6</v>
      </c>
      <c r="AL7" t="s">
        <v>652</v>
      </c>
      <c r="AM7" t="s">
        <v>725</v>
      </c>
      <c r="AN7" t="s">
        <v>726</v>
      </c>
      <c r="AO7" t="s">
        <v>2061</v>
      </c>
      <c r="AP7" t="s">
        <v>2062</v>
      </c>
    </row>
    <row r="8" spans="1:42" ht="12" customHeight="1" x14ac:dyDescent="0.25">
      <c r="A8" t="s">
        <v>24</v>
      </c>
      <c r="H8" t="s">
        <v>92</v>
      </c>
      <c r="J8" t="s">
        <v>147</v>
      </c>
      <c r="K8" t="s">
        <v>148</v>
      </c>
      <c r="N8" t="s">
        <v>514</v>
      </c>
      <c r="O8">
        <v>726</v>
      </c>
      <c r="P8" t="s">
        <v>515</v>
      </c>
      <c r="AA8" t="s">
        <v>607</v>
      </c>
      <c r="AD8" t="s">
        <v>608</v>
      </c>
      <c r="AG8" t="s">
        <v>600</v>
      </c>
      <c r="AH8">
        <v>2301</v>
      </c>
      <c r="AJ8" t="s">
        <v>653</v>
      </c>
      <c r="AK8">
        <v>7</v>
      </c>
      <c r="AL8" t="s">
        <v>654</v>
      </c>
      <c r="AM8" t="s">
        <v>727</v>
      </c>
      <c r="AN8" t="s">
        <v>728</v>
      </c>
      <c r="AO8" t="s">
        <v>2063</v>
      </c>
      <c r="AP8" t="s">
        <v>2064</v>
      </c>
    </row>
    <row r="9" spans="1:42" ht="12" customHeight="1" x14ac:dyDescent="0.25">
      <c r="A9" t="s">
        <v>25</v>
      </c>
      <c r="H9" t="s">
        <v>93</v>
      </c>
      <c r="J9" t="s">
        <v>133</v>
      </c>
      <c r="K9" t="s">
        <v>134</v>
      </c>
      <c r="N9" t="s">
        <v>419</v>
      </c>
      <c r="O9">
        <v>513</v>
      </c>
      <c r="P9" t="s">
        <v>420</v>
      </c>
      <c r="AA9" t="s">
        <v>609</v>
      </c>
      <c r="AD9" t="s">
        <v>1397</v>
      </c>
      <c r="AG9" t="s">
        <v>602</v>
      </c>
      <c r="AH9">
        <v>2302</v>
      </c>
      <c r="AJ9" t="s">
        <v>655</v>
      </c>
      <c r="AK9">
        <v>8</v>
      </c>
      <c r="AL9" t="s">
        <v>656</v>
      </c>
      <c r="AM9" t="s">
        <v>729</v>
      </c>
      <c r="AN9" t="s">
        <v>730</v>
      </c>
      <c r="AO9" t="s">
        <v>2065</v>
      </c>
      <c r="AP9" t="s">
        <v>2066</v>
      </c>
    </row>
    <row r="10" spans="1:42" ht="12" customHeight="1" x14ac:dyDescent="0.25">
      <c r="A10" t="s">
        <v>26</v>
      </c>
      <c r="H10" t="s">
        <v>94</v>
      </c>
      <c r="J10" t="s">
        <v>151</v>
      </c>
      <c r="K10" t="s">
        <v>152</v>
      </c>
      <c r="N10" t="s">
        <v>470</v>
      </c>
      <c r="O10">
        <v>57</v>
      </c>
      <c r="P10" t="s">
        <v>471</v>
      </c>
      <c r="AA10" t="s">
        <v>610</v>
      </c>
      <c r="AD10" t="s">
        <v>611</v>
      </c>
      <c r="AG10" t="s">
        <v>604</v>
      </c>
      <c r="AH10">
        <v>2303</v>
      </c>
      <c r="AJ10" t="s">
        <v>657</v>
      </c>
      <c r="AK10">
        <v>9</v>
      </c>
      <c r="AL10" t="s">
        <v>658</v>
      </c>
      <c r="AM10" t="s">
        <v>731</v>
      </c>
      <c r="AN10" t="s">
        <v>732</v>
      </c>
      <c r="AO10" t="s">
        <v>2067</v>
      </c>
      <c r="AP10" t="s">
        <v>2068</v>
      </c>
    </row>
    <row r="11" spans="1:42" ht="12" customHeight="1" x14ac:dyDescent="0.25">
      <c r="A11" t="s">
        <v>27</v>
      </c>
      <c r="H11" t="s">
        <v>95</v>
      </c>
      <c r="J11" t="s">
        <v>155</v>
      </c>
      <c r="K11" t="s">
        <v>156</v>
      </c>
      <c r="N11" t="s">
        <v>409</v>
      </c>
      <c r="O11">
        <v>505</v>
      </c>
      <c r="P11" t="s">
        <v>410</v>
      </c>
      <c r="AA11" t="s">
        <v>612</v>
      </c>
      <c r="AD11" t="s">
        <v>613</v>
      </c>
      <c r="AG11" t="s">
        <v>605</v>
      </c>
      <c r="AH11">
        <v>2304</v>
      </c>
      <c r="AJ11" t="s">
        <v>659</v>
      </c>
      <c r="AK11">
        <v>10</v>
      </c>
      <c r="AL11" t="s">
        <v>660</v>
      </c>
      <c r="AM11" t="s">
        <v>733</v>
      </c>
      <c r="AN11" t="s">
        <v>1435</v>
      </c>
      <c r="AO11" t="s">
        <v>2069</v>
      </c>
      <c r="AP11" t="s">
        <v>2070</v>
      </c>
    </row>
    <row r="12" spans="1:42" ht="12" customHeight="1" x14ac:dyDescent="0.25">
      <c r="A12" t="s">
        <v>28</v>
      </c>
      <c r="H12" t="s">
        <v>96</v>
      </c>
      <c r="J12" t="s">
        <v>123</v>
      </c>
      <c r="K12" t="s">
        <v>124</v>
      </c>
      <c r="N12" t="s">
        <v>574</v>
      </c>
      <c r="O12">
        <v>92</v>
      </c>
      <c r="P12" t="s">
        <v>575</v>
      </c>
      <c r="AA12" t="s">
        <v>614</v>
      </c>
      <c r="AD12" t="s">
        <v>615</v>
      </c>
      <c r="AG12" t="s">
        <v>607</v>
      </c>
      <c r="AH12">
        <v>2305</v>
      </c>
      <c r="AJ12" t="s">
        <v>661</v>
      </c>
      <c r="AK12">
        <v>11</v>
      </c>
      <c r="AL12" t="s">
        <v>662</v>
      </c>
      <c r="AM12" t="s">
        <v>734</v>
      </c>
      <c r="AN12" t="s">
        <v>705</v>
      </c>
      <c r="AO12" t="s">
        <v>2071</v>
      </c>
      <c r="AP12" t="s">
        <v>2072</v>
      </c>
    </row>
    <row r="13" spans="1:42" ht="12" customHeight="1" x14ac:dyDescent="0.25">
      <c r="A13" t="s">
        <v>9</v>
      </c>
      <c r="H13" t="s">
        <v>97</v>
      </c>
      <c r="J13" t="s">
        <v>169</v>
      </c>
      <c r="K13" t="s">
        <v>170</v>
      </c>
      <c r="N13" t="s">
        <v>439</v>
      </c>
      <c r="O13">
        <v>523</v>
      </c>
      <c r="P13" t="s">
        <v>440</v>
      </c>
      <c r="AA13" t="s">
        <v>1403</v>
      </c>
      <c r="AD13" t="s">
        <v>616</v>
      </c>
      <c r="AG13" t="s">
        <v>609</v>
      </c>
      <c r="AH13">
        <v>2306</v>
      </c>
      <c r="AJ13" t="s">
        <v>663</v>
      </c>
      <c r="AK13">
        <v>12</v>
      </c>
      <c r="AL13" t="s">
        <v>664</v>
      </c>
      <c r="AM13" t="s">
        <v>735</v>
      </c>
      <c r="AN13" t="s">
        <v>1254</v>
      </c>
      <c r="AO13" t="s">
        <v>2073</v>
      </c>
      <c r="AP13" t="s">
        <v>2074</v>
      </c>
    </row>
    <row r="14" spans="1:42" ht="12" customHeight="1" x14ac:dyDescent="0.25">
      <c r="A14" t="s">
        <v>29</v>
      </c>
      <c r="H14" t="s">
        <v>98</v>
      </c>
      <c r="J14" t="s">
        <v>143</v>
      </c>
      <c r="K14" t="s">
        <v>144</v>
      </c>
      <c r="N14" t="s">
        <v>425</v>
      </c>
      <c r="O14">
        <v>516</v>
      </c>
      <c r="P14" t="s">
        <v>426</v>
      </c>
      <c r="AA14" t="s">
        <v>617</v>
      </c>
      <c r="AD14" t="s">
        <v>1402</v>
      </c>
      <c r="AG14" t="s">
        <v>610</v>
      </c>
      <c r="AH14">
        <v>2307</v>
      </c>
      <c r="AJ14" t="s">
        <v>665</v>
      </c>
      <c r="AK14">
        <v>13</v>
      </c>
      <c r="AL14" t="s">
        <v>666</v>
      </c>
      <c r="AM14" t="s">
        <v>736</v>
      </c>
      <c r="AN14" t="s">
        <v>737</v>
      </c>
      <c r="AO14" t="s">
        <v>2075</v>
      </c>
      <c r="AP14" t="s">
        <v>2076</v>
      </c>
    </row>
    <row r="15" spans="1:42" ht="12" customHeight="1" x14ac:dyDescent="0.25">
      <c r="A15" t="s">
        <v>17</v>
      </c>
      <c r="H15" t="s">
        <v>99</v>
      </c>
      <c r="J15" t="s">
        <v>173</v>
      </c>
      <c r="K15" t="s">
        <v>174</v>
      </c>
      <c r="N15" t="s">
        <v>449</v>
      </c>
      <c r="O15">
        <v>532</v>
      </c>
      <c r="P15" t="s">
        <v>450</v>
      </c>
      <c r="AA15" t="s">
        <v>618</v>
      </c>
      <c r="AG15" t="s">
        <v>612</v>
      </c>
      <c r="AH15">
        <v>2308</v>
      </c>
      <c r="AJ15" t="s">
        <v>667</v>
      </c>
      <c r="AK15">
        <v>14</v>
      </c>
      <c r="AL15" t="s">
        <v>668</v>
      </c>
      <c r="AM15" t="s">
        <v>738</v>
      </c>
      <c r="AN15" t="s">
        <v>1255</v>
      </c>
      <c r="AO15" t="s">
        <v>122</v>
      </c>
      <c r="AP15" t="s">
        <v>2077</v>
      </c>
    </row>
    <row r="16" spans="1:42" ht="12" customHeight="1" x14ac:dyDescent="0.25">
      <c r="A16" t="s">
        <v>30</v>
      </c>
      <c r="H16" t="s">
        <v>100</v>
      </c>
      <c r="J16" t="s">
        <v>139</v>
      </c>
      <c r="K16" t="s">
        <v>140</v>
      </c>
      <c r="N16" t="s">
        <v>451</v>
      </c>
      <c r="O16">
        <v>533</v>
      </c>
      <c r="P16" t="s">
        <v>452</v>
      </c>
      <c r="AA16" t="s">
        <v>1398</v>
      </c>
      <c r="AG16" t="s">
        <v>614</v>
      </c>
      <c r="AH16">
        <v>2309</v>
      </c>
      <c r="AJ16" t="s">
        <v>669</v>
      </c>
      <c r="AK16">
        <v>15</v>
      </c>
      <c r="AL16" t="s">
        <v>670</v>
      </c>
      <c r="AM16" t="s">
        <v>739</v>
      </c>
      <c r="AN16" t="s">
        <v>1256</v>
      </c>
      <c r="AO16" t="s">
        <v>2078</v>
      </c>
      <c r="AP16" t="s">
        <v>2079</v>
      </c>
    </row>
    <row r="17" spans="1:42" ht="12" customHeight="1" x14ac:dyDescent="0.25">
      <c r="A17" t="s">
        <v>31</v>
      </c>
      <c r="H17" t="s">
        <v>101</v>
      </c>
      <c r="J17" t="s">
        <v>129</v>
      </c>
      <c r="K17" t="s">
        <v>130</v>
      </c>
      <c r="N17" t="s">
        <v>538</v>
      </c>
      <c r="O17">
        <v>762</v>
      </c>
      <c r="P17" t="s">
        <v>539</v>
      </c>
      <c r="AG17" t="s">
        <v>1403</v>
      </c>
      <c r="AH17">
        <v>2310</v>
      </c>
      <c r="AM17" t="s">
        <v>740</v>
      </c>
      <c r="AN17" t="s">
        <v>1257</v>
      </c>
      <c r="AO17" t="s">
        <v>158</v>
      </c>
      <c r="AP17" t="s">
        <v>2080</v>
      </c>
    </row>
    <row r="18" spans="1:42" ht="12" customHeight="1" x14ac:dyDescent="0.25">
      <c r="A18" t="s">
        <v>32</v>
      </c>
      <c r="H18" t="s">
        <v>102</v>
      </c>
      <c r="J18" t="s">
        <v>167</v>
      </c>
      <c r="K18" t="s">
        <v>168</v>
      </c>
      <c r="N18" t="s">
        <v>443</v>
      </c>
      <c r="O18">
        <v>525</v>
      </c>
      <c r="P18" t="s">
        <v>444</v>
      </c>
      <c r="AG18" t="s">
        <v>617</v>
      </c>
      <c r="AH18">
        <v>2311</v>
      </c>
      <c r="AM18" t="s">
        <v>741</v>
      </c>
      <c r="AN18" t="s">
        <v>742</v>
      </c>
      <c r="AO18" t="s">
        <v>138</v>
      </c>
      <c r="AP18" t="s">
        <v>2081</v>
      </c>
    </row>
    <row r="19" spans="1:42" ht="12" customHeight="1" x14ac:dyDescent="0.25">
      <c r="A19" t="s">
        <v>33</v>
      </c>
      <c r="H19" t="s">
        <v>103</v>
      </c>
      <c r="J19" t="s">
        <v>125</v>
      </c>
      <c r="K19" t="s">
        <v>126</v>
      </c>
      <c r="N19" t="s">
        <v>568</v>
      </c>
      <c r="O19">
        <v>89</v>
      </c>
      <c r="P19" t="s">
        <v>569</v>
      </c>
      <c r="AG19" t="s">
        <v>618</v>
      </c>
      <c r="AH19">
        <v>2312</v>
      </c>
      <c r="AM19" t="s">
        <v>743</v>
      </c>
      <c r="AN19" t="s">
        <v>744</v>
      </c>
      <c r="AO19" t="s">
        <v>130</v>
      </c>
      <c r="AP19" t="s">
        <v>2082</v>
      </c>
    </row>
    <row r="20" spans="1:42" ht="12" customHeight="1" x14ac:dyDescent="0.25">
      <c r="A20" t="s">
        <v>34</v>
      </c>
      <c r="H20" t="s">
        <v>104</v>
      </c>
      <c r="J20" t="s">
        <v>159</v>
      </c>
      <c r="K20" t="s">
        <v>160</v>
      </c>
      <c r="N20" t="s">
        <v>566</v>
      </c>
      <c r="O20">
        <v>85</v>
      </c>
      <c r="P20" t="s">
        <v>567</v>
      </c>
      <c r="AG20" t="s">
        <v>1398</v>
      </c>
      <c r="AH20">
        <v>2300</v>
      </c>
      <c r="AM20" t="s">
        <v>745</v>
      </c>
      <c r="AN20" t="s">
        <v>1258</v>
      </c>
      <c r="AO20" t="s">
        <v>126</v>
      </c>
      <c r="AP20" t="s">
        <v>2083</v>
      </c>
    </row>
    <row r="21" spans="1:42" ht="12" customHeight="1" x14ac:dyDescent="0.25">
      <c r="A21" t="s">
        <v>35</v>
      </c>
      <c r="H21" t="s">
        <v>105</v>
      </c>
      <c r="J21" t="s">
        <v>157</v>
      </c>
      <c r="K21" t="s">
        <v>158</v>
      </c>
      <c r="N21" t="s">
        <v>552</v>
      </c>
      <c r="O21">
        <v>781</v>
      </c>
      <c r="P21" t="s">
        <v>553</v>
      </c>
      <c r="AG21" t="s">
        <v>593</v>
      </c>
      <c r="AH21">
        <v>3000</v>
      </c>
      <c r="AM21" t="s">
        <v>746</v>
      </c>
      <c r="AN21" t="s">
        <v>747</v>
      </c>
      <c r="AO21" t="s">
        <v>168</v>
      </c>
      <c r="AP21" t="s">
        <v>2084</v>
      </c>
    </row>
    <row r="22" spans="1:42" ht="12" customHeight="1" x14ac:dyDescent="0.25">
      <c r="A22" t="s">
        <v>36</v>
      </c>
      <c r="H22" t="s">
        <v>106</v>
      </c>
      <c r="J22" t="s">
        <v>149</v>
      </c>
      <c r="K22" t="s">
        <v>150</v>
      </c>
      <c r="N22" t="s">
        <v>447</v>
      </c>
      <c r="O22">
        <v>531</v>
      </c>
      <c r="P22" t="s">
        <v>448</v>
      </c>
      <c r="AG22" t="s">
        <v>1395</v>
      </c>
      <c r="AH22">
        <v>4000</v>
      </c>
      <c r="AM22" t="s">
        <v>748</v>
      </c>
      <c r="AN22" t="s">
        <v>1259</v>
      </c>
      <c r="AO22" t="s">
        <v>132</v>
      </c>
      <c r="AP22" t="s">
        <v>2085</v>
      </c>
    </row>
    <row r="23" spans="1:42" ht="12" customHeight="1" x14ac:dyDescent="0.25">
      <c r="A23" t="s">
        <v>37</v>
      </c>
      <c r="H23" t="s">
        <v>107</v>
      </c>
      <c r="J23" t="s">
        <v>163</v>
      </c>
      <c r="K23" t="s">
        <v>164</v>
      </c>
      <c r="N23" t="s">
        <v>474</v>
      </c>
      <c r="O23">
        <v>591</v>
      </c>
      <c r="P23" t="s">
        <v>475</v>
      </c>
      <c r="AG23" t="s">
        <v>597</v>
      </c>
      <c r="AH23">
        <v>4101</v>
      </c>
      <c r="AM23" t="s">
        <v>749</v>
      </c>
      <c r="AN23" t="s">
        <v>1260</v>
      </c>
      <c r="AO23" t="s">
        <v>170</v>
      </c>
      <c r="AP23" t="s">
        <v>2086</v>
      </c>
    </row>
    <row r="24" spans="1:42" ht="12" customHeight="1" x14ac:dyDescent="0.25">
      <c r="A24" t="s">
        <v>38</v>
      </c>
      <c r="H24" t="s">
        <v>1360</v>
      </c>
      <c r="J24" t="s">
        <v>153</v>
      </c>
      <c r="K24" t="s">
        <v>154</v>
      </c>
      <c r="N24" t="s">
        <v>530</v>
      </c>
      <c r="O24">
        <v>752</v>
      </c>
      <c r="P24" t="s">
        <v>531</v>
      </c>
      <c r="AG24" t="s">
        <v>1400</v>
      </c>
      <c r="AH24">
        <v>4100</v>
      </c>
      <c r="AM24" t="s">
        <v>750</v>
      </c>
      <c r="AN24" t="s">
        <v>1261</v>
      </c>
      <c r="AO24" t="s">
        <v>142</v>
      </c>
      <c r="AP24" t="s">
        <v>2087</v>
      </c>
    </row>
    <row r="25" spans="1:42" ht="12" customHeight="1" x14ac:dyDescent="0.25">
      <c r="A25" t="s">
        <v>39</v>
      </c>
      <c r="H25" t="s">
        <v>108</v>
      </c>
      <c r="J25" t="s">
        <v>127</v>
      </c>
      <c r="K25" t="s">
        <v>128</v>
      </c>
      <c r="N25" t="s">
        <v>554</v>
      </c>
      <c r="O25">
        <v>782</v>
      </c>
      <c r="P25" t="s">
        <v>555</v>
      </c>
      <c r="AG25" t="s">
        <v>1396</v>
      </c>
      <c r="AH25">
        <v>5000</v>
      </c>
      <c r="AM25" t="s">
        <v>751</v>
      </c>
      <c r="AN25" t="s">
        <v>1262</v>
      </c>
      <c r="AO25" t="s">
        <v>2088</v>
      </c>
      <c r="AP25" t="s">
        <v>2089</v>
      </c>
    </row>
    <row r="26" spans="1:42" ht="12" customHeight="1" x14ac:dyDescent="0.25">
      <c r="A26" t="s">
        <v>40</v>
      </c>
      <c r="H26" t="s">
        <v>109</v>
      </c>
      <c r="J26" t="s">
        <v>165</v>
      </c>
      <c r="K26" t="s">
        <v>166</v>
      </c>
      <c r="N26" t="s">
        <v>524</v>
      </c>
      <c r="O26">
        <v>74</v>
      </c>
      <c r="P26" t="s">
        <v>525</v>
      </c>
      <c r="AG26" t="s">
        <v>598</v>
      </c>
      <c r="AH26">
        <v>5101</v>
      </c>
      <c r="AM26" t="s">
        <v>752</v>
      </c>
      <c r="AN26" t="s">
        <v>753</v>
      </c>
      <c r="AO26" t="s">
        <v>160</v>
      </c>
      <c r="AP26" t="s">
        <v>2090</v>
      </c>
    </row>
    <row r="27" spans="1:42" ht="12" customHeight="1" x14ac:dyDescent="0.25">
      <c r="A27" t="s">
        <v>41</v>
      </c>
      <c r="J27" t="s">
        <v>141</v>
      </c>
      <c r="K27" t="s">
        <v>142</v>
      </c>
      <c r="N27" t="s">
        <v>435</v>
      </c>
      <c r="O27">
        <v>521</v>
      </c>
      <c r="P27" t="s">
        <v>436</v>
      </c>
      <c r="AG27" t="s">
        <v>601</v>
      </c>
      <c r="AH27">
        <v>5102</v>
      </c>
      <c r="AM27" t="s">
        <v>754</v>
      </c>
      <c r="AN27" t="s">
        <v>1263</v>
      </c>
      <c r="AO27" t="s">
        <v>150</v>
      </c>
      <c r="AP27" t="s">
        <v>2091</v>
      </c>
    </row>
    <row r="28" spans="1:42" ht="12" customHeight="1" x14ac:dyDescent="0.25">
      <c r="J28" t="s">
        <v>369</v>
      </c>
      <c r="K28" t="s">
        <v>370</v>
      </c>
      <c r="N28" t="s">
        <v>532</v>
      </c>
      <c r="O28">
        <v>753</v>
      </c>
      <c r="P28" t="s">
        <v>533</v>
      </c>
      <c r="AG28" t="s">
        <v>603</v>
      </c>
      <c r="AH28">
        <v>5103</v>
      </c>
      <c r="AM28" t="s">
        <v>755</v>
      </c>
      <c r="AN28" t="s">
        <v>1264</v>
      </c>
      <c r="AO28" t="s">
        <v>154</v>
      </c>
      <c r="AP28" t="s">
        <v>2092</v>
      </c>
    </row>
    <row r="29" spans="1:42" ht="12" customHeight="1" x14ac:dyDescent="0.25">
      <c r="J29" t="s">
        <v>379</v>
      </c>
      <c r="K29" t="s">
        <v>380</v>
      </c>
      <c r="N29" t="s">
        <v>570</v>
      </c>
      <c r="O29">
        <v>90</v>
      </c>
      <c r="P29" t="s">
        <v>571</v>
      </c>
      <c r="AG29" t="s">
        <v>1401</v>
      </c>
      <c r="AH29">
        <v>5100</v>
      </c>
      <c r="AM29" t="s">
        <v>756</v>
      </c>
      <c r="AN29" t="s">
        <v>757</v>
      </c>
      <c r="AO29" t="s">
        <v>124</v>
      </c>
      <c r="AP29" t="s">
        <v>2093</v>
      </c>
    </row>
    <row r="30" spans="1:42" ht="12" customHeight="1" x14ac:dyDescent="0.25">
      <c r="J30" t="s">
        <v>373</v>
      </c>
      <c r="K30" t="s">
        <v>374</v>
      </c>
      <c r="N30" t="s">
        <v>476</v>
      </c>
      <c r="O30">
        <v>592</v>
      </c>
      <c r="P30" t="s">
        <v>477</v>
      </c>
      <c r="AG30" t="s">
        <v>606</v>
      </c>
      <c r="AH30">
        <v>5201</v>
      </c>
      <c r="AM30" t="s">
        <v>758</v>
      </c>
      <c r="AN30" t="s">
        <v>716</v>
      </c>
      <c r="AO30" t="s">
        <v>2094</v>
      </c>
      <c r="AP30" t="s">
        <v>2095</v>
      </c>
    </row>
    <row r="31" spans="1:42" ht="12" customHeight="1" x14ac:dyDescent="0.25">
      <c r="J31" t="s">
        <v>383</v>
      </c>
      <c r="K31" t="s">
        <v>384</v>
      </c>
      <c r="N31" t="s">
        <v>536</v>
      </c>
      <c r="O31">
        <v>761</v>
      </c>
      <c r="P31" t="s">
        <v>537</v>
      </c>
      <c r="AG31" t="s">
        <v>608</v>
      </c>
      <c r="AH31">
        <v>5202</v>
      </c>
      <c r="AM31" t="s">
        <v>759</v>
      </c>
      <c r="AN31" t="s">
        <v>1265</v>
      </c>
      <c r="AO31" t="s">
        <v>164</v>
      </c>
      <c r="AP31" t="s">
        <v>2096</v>
      </c>
    </row>
    <row r="32" spans="1:42" ht="12" customHeight="1" x14ac:dyDescent="0.25">
      <c r="J32" t="s">
        <v>381</v>
      </c>
      <c r="K32" t="s">
        <v>382</v>
      </c>
      <c r="N32" t="s">
        <v>526</v>
      </c>
      <c r="O32">
        <v>75</v>
      </c>
      <c r="P32" t="s">
        <v>527</v>
      </c>
      <c r="AG32" t="s">
        <v>1397</v>
      </c>
      <c r="AH32">
        <v>5200</v>
      </c>
      <c r="AM32" t="s">
        <v>760</v>
      </c>
      <c r="AN32" t="s">
        <v>1266</v>
      </c>
      <c r="AO32" t="s">
        <v>156</v>
      </c>
      <c r="AP32" t="s">
        <v>2097</v>
      </c>
    </row>
    <row r="33" spans="10:42" ht="12" customHeight="1" x14ac:dyDescent="0.25">
      <c r="J33" t="s">
        <v>375</v>
      </c>
      <c r="K33" t="s">
        <v>376</v>
      </c>
      <c r="N33" t="s">
        <v>415</v>
      </c>
      <c r="O33">
        <v>511</v>
      </c>
      <c r="P33" t="s">
        <v>416</v>
      </c>
      <c r="AG33" t="s">
        <v>611</v>
      </c>
      <c r="AH33">
        <v>5301</v>
      </c>
      <c r="AM33" t="s">
        <v>761</v>
      </c>
      <c r="AN33" t="s">
        <v>762</v>
      </c>
      <c r="AO33" t="s">
        <v>2098</v>
      </c>
      <c r="AP33" t="s">
        <v>2099</v>
      </c>
    </row>
    <row r="34" spans="10:42" ht="12" customHeight="1" x14ac:dyDescent="0.25">
      <c r="J34" t="s">
        <v>137</v>
      </c>
      <c r="K34" t="s">
        <v>138</v>
      </c>
      <c r="N34" t="s">
        <v>400</v>
      </c>
      <c r="O34">
        <v>50</v>
      </c>
      <c r="P34" t="s">
        <v>401</v>
      </c>
      <c r="AG34" t="s">
        <v>613</v>
      </c>
      <c r="AH34">
        <v>5302</v>
      </c>
      <c r="AM34" t="s">
        <v>763</v>
      </c>
      <c r="AN34" t="s">
        <v>764</v>
      </c>
      <c r="AO34" t="s">
        <v>148</v>
      </c>
      <c r="AP34" t="s">
        <v>2100</v>
      </c>
    </row>
    <row r="35" spans="10:42" ht="12" customHeight="1" x14ac:dyDescent="0.25">
      <c r="J35" t="s">
        <v>131</v>
      </c>
      <c r="K35" t="s">
        <v>132</v>
      </c>
      <c r="N35" t="s">
        <v>402</v>
      </c>
      <c r="O35">
        <v>501</v>
      </c>
      <c r="P35" t="s">
        <v>403</v>
      </c>
      <c r="AG35" t="s">
        <v>615</v>
      </c>
      <c r="AH35">
        <v>5303</v>
      </c>
      <c r="AM35" t="s">
        <v>765</v>
      </c>
      <c r="AN35" t="s">
        <v>766</v>
      </c>
      <c r="AO35" t="s">
        <v>136</v>
      </c>
      <c r="AP35" t="s">
        <v>2101</v>
      </c>
    </row>
    <row r="36" spans="10:42" ht="12" customHeight="1" x14ac:dyDescent="0.25">
      <c r="J36" t="s">
        <v>161</v>
      </c>
      <c r="K36" t="s">
        <v>162</v>
      </c>
      <c r="N36" t="s">
        <v>441</v>
      </c>
      <c r="O36">
        <v>524</v>
      </c>
      <c r="P36" t="s">
        <v>442</v>
      </c>
      <c r="AG36" t="s">
        <v>616</v>
      </c>
      <c r="AH36">
        <v>5304</v>
      </c>
      <c r="AM36" t="s">
        <v>767</v>
      </c>
      <c r="AN36" t="s">
        <v>768</v>
      </c>
      <c r="AO36" t="s">
        <v>134</v>
      </c>
      <c r="AP36" t="s">
        <v>2102</v>
      </c>
    </row>
    <row r="37" spans="10:42" ht="12" customHeight="1" x14ac:dyDescent="0.25">
      <c r="J37" t="s">
        <v>181</v>
      </c>
      <c r="K37" t="s">
        <v>182</v>
      </c>
      <c r="N37" t="s">
        <v>429</v>
      </c>
      <c r="O37">
        <v>518</v>
      </c>
      <c r="P37" t="s">
        <v>430</v>
      </c>
      <c r="AG37" t="s">
        <v>1402</v>
      </c>
      <c r="AH37">
        <v>5300</v>
      </c>
      <c r="AM37" t="s">
        <v>769</v>
      </c>
      <c r="AN37" t="s">
        <v>770</v>
      </c>
      <c r="AO37" t="s">
        <v>140</v>
      </c>
      <c r="AP37" t="s">
        <v>2103</v>
      </c>
    </row>
    <row r="38" spans="10:42" ht="12" customHeight="1" x14ac:dyDescent="0.25">
      <c r="J38" t="s">
        <v>207</v>
      </c>
      <c r="K38" t="s">
        <v>208</v>
      </c>
      <c r="N38" t="s">
        <v>496</v>
      </c>
      <c r="O38">
        <v>607</v>
      </c>
      <c r="P38" t="s">
        <v>497</v>
      </c>
      <c r="AM38" t="s">
        <v>771</v>
      </c>
      <c r="AN38" t="s">
        <v>772</v>
      </c>
      <c r="AO38" t="s">
        <v>2104</v>
      </c>
      <c r="AP38" t="s">
        <v>2105</v>
      </c>
    </row>
    <row r="39" spans="10:42" ht="12" customHeight="1" x14ac:dyDescent="0.25">
      <c r="J39" t="s">
        <v>171</v>
      </c>
      <c r="K39" t="s">
        <v>172</v>
      </c>
      <c r="N39" t="s">
        <v>572</v>
      </c>
      <c r="O39">
        <v>91</v>
      </c>
      <c r="P39" t="s">
        <v>573</v>
      </c>
      <c r="AM39" t="s">
        <v>773</v>
      </c>
      <c r="AN39" t="s">
        <v>774</v>
      </c>
      <c r="AO39" t="s">
        <v>2106</v>
      </c>
      <c r="AP39" t="s">
        <v>2107</v>
      </c>
    </row>
    <row r="40" spans="10:42" ht="12" customHeight="1" x14ac:dyDescent="0.25">
      <c r="J40" t="s">
        <v>185</v>
      </c>
      <c r="K40" t="s">
        <v>186</v>
      </c>
      <c r="N40" t="s">
        <v>518</v>
      </c>
      <c r="O40">
        <v>728</v>
      </c>
      <c r="P40" t="s">
        <v>519</v>
      </c>
      <c r="AM40" t="s">
        <v>775</v>
      </c>
      <c r="AN40" t="s">
        <v>776</v>
      </c>
      <c r="AO40" t="s">
        <v>172</v>
      </c>
      <c r="AP40" t="s">
        <v>2108</v>
      </c>
    </row>
    <row r="41" spans="10:42" ht="12" customHeight="1" x14ac:dyDescent="0.25">
      <c r="J41" t="s">
        <v>211</v>
      </c>
      <c r="K41" t="s">
        <v>212</v>
      </c>
      <c r="N41" t="s">
        <v>427</v>
      </c>
      <c r="O41">
        <v>517</v>
      </c>
      <c r="P41" t="s">
        <v>428</v>
      </c>
      <c r="AM41" t="s">
        <v>777</v>
      </c>
      <c r="AN41" t="s">
        <v>778</v>
      </c>
      <c r="AO41" t="s">
        <v>206</v>
      </c>
      <c r="AP41" t="s">
        <v>2109</v>
      </c>
    </row>
    <row r="42" spans="10:42" ht="12" customHeight="1" x14ac:dyDescent="0.25">
      <c r="J42" t="s">
        <v>193</v>
      </c>
      <c r="K42" t="s">
        <v>194</v>
      </c>
      <c r="N42" t="s">
        <v>455</v>
      </c>
      <c r="O42">
        <v>54</v>
      </c>
      <c r="P42" t="s">
        <v>456</v>
      </c>
      <c r="AM42" t="s">
        <v>779</v>
      </c>
      <c r="AN42" t="s">
        <v>780</v>
      </c>
      <c r="AO42" t="s">
        <v>2110</v>
      </c>
      <c r="AP42" t="s">
        <v>2111</v>
      </c>
    </row>
    <row r="43" spans="10:42" ht="12" customHeight="1" x14ac:dyDescent="0.25">
      <c r="J43" t="s">
        <v>195</v>
      </c>
      <c r="K43" t="s">
        <v>196</v>
      </c>
      <c r="N43" t="s">
        <v>421</v>
      </c>
      <c r="O43">
        <v>514</v>
      </c>
      <c r="P43" t="s">
        <v>422</v>
      </c>
      <c r="AM43" t="s">
        <v>781</v>
      </c>
      <c r="AN43" t="s">
        <v>782</v>
      </c>
      <c r="AO43" t="s">
        <v>180</v>
      </c>
      <c r="AP43" t="s">
        <v>2112</v>
      </c>
    </row>
    <row r="44" spans="10:42" ht="12" customHeight="1" x14ac:dyDescent="0.25">
      <c r="J44" t="s">
        <v>201</v>
      </c>
      <c r="K44" t="s">
        <v>202</v>
      </c>
      <c r="N44" t="s">
        <v>459</v>
      </c>
      <c r="O44">
        <v>542</v>
      </c>
      <c r="P44" t="s">
        <v>460</v>
      </c>
      <c r="AM44" t="s">
        <v>783</v>
      </c>
      <c r="AN44" t="s">
        <v>1267</v>
      </c>
      <c r="AO44" t="s">
        <v>349</v>
      </c>
      <c r="AP44" t="s">
        <v>2113</v>
      </c>
    </row>
    <row r="45" spans="10:42" ht="12" customHeight="1" x14ac:dyDescent="0.25">
      <c r="J45" t="s">
        <v>199</v>
      </c>
      <c r="K45" t="s">
        <v>200</v>
      </c>
      <c r="N45" t="s">
        <v>461</v>
      </c>
      <c r="O45">
        <v>543</v>
      </c>
      <c r="P45" t="s">
        <v>577</v>
      </c>
      <c r="AM45" t="s">
        <v>784</v>
      </c>
      <c r="AN45" t="s">
        <v>785</v>
      </c>
      <c r="AO45" t="s">
        <v>192</v>
      </c>
      <c r="AP45" t="s">
        <v>2114</v>
      </c>
    </row>
    <row r="46" spans="10:42" ht="12" customHeight="1" x14ac:dyDescent="0.25">
      <c r="J46" t="s">
        <v>189</v>
      </c>
      <c r="K46" t="s">
        <v>190</v>
      </c>
      <c r="N46" t="s">
        <v>457</v>
      </c>
      <c r="O46">
        <v>541</v>
      </c>
      <c r="P46" t="s">
        <v>458</v>
      </c>
      <c r="AM46" t="s">
        <v>786</v>
      </c>
      <c r="AN46" t="s">
        <v>1268</v>
      </c>
      <c r="AO46" t="s">
        <v>2115</v>
      </c>
      <c r="AP46" t="s">
        <v>2116</v>
      </c>
    </row>
    <row r="47" spans="10:42" ht="12" customHeight="1" x14ac:dyDescent="0.25">
      <c r="J47" t="s">
        <v>183</v>
      </c>
      <c r="K47" t="s">
        <v>184</v>
      </c>
      <c r="N47" t="s">
        <v>466</v>
      </c>
      <c r="O47">
        <v>552</v>
      </c>
      <c r="P47" t="s">
        <v>467</v>
      </c>
      <c r="AM47" t="s">
        <v>787</v>
      </c>
      <c r="AN47" t="s">
        <v>788</v>
      </c>
      <c r="AO47" t="s">
        <v>208</v>
      </c>
      <c r="AP47" t="s">
        <v>2117</v>
      </c>
    </row>
    <row r="48" spans="10:42" ht="12" customHeight="1" x14ac:dyDescent="0.25">
      <c r="J48" t="s">
        <v>175</v>
      </c>
      <c r="K48" t="s">
        <v>176</v>
      </c>
      <c r="N48" t="s">
        <v>548</v>
      </c>
      <c r="O48">
        <v>77</v>
      </c>
      <c r="P48" t="s">
        <v>549</v>
      </c>
      <c r="AM48" t="s">
        <v>789</v>
      </c>
      <c r="AN48" t="s">
        <v>790</v>
      </c>
      <c r="AO48" t="s">
        <v>176</v>
      </c>
      <c r="AP48" t="s">
        <v>2118</v>
      </c>
    </row>
    <row r="49" spans="10:42" ht="12" customHeight="1" x14ac:dyDescent="0.25">
      <c r="J49" t="s">
        <v>179</v>
      </c>
      <c r="K49" t="s">
        <v>180</v>
      </c>
      <c r="N49" t="s">
        <v>508</v>
      </c>
      <c r="O49">
        <v>723</v>
      </c>
      <c r="P49" t="s">
        <v>509</v>
      </c>
      <c r="AM49" t="s">
        <v>791</v>
      </c>
      <c r="AN49" t="s">
        <v>792</v>
      </c>
      <c r="AO49" t="s">
        <v>2051</v>
      </c>
      <c r="AP49" t="s">
        <v>2052</v>
      </c>
    </row>
    <row r="50" spans="10:42" ht="12" customHeight="1" x14ac:dyDescent="0.25">
      <c r="J50" t="s">
        <v>187</v>
      </c>
      <c r="K50" t="s">
        <v>188</v>
      </c>
      <c r="N50" t="s">
        <v>453</v>
      </c>
      <c r="O50">
        <v>534</v>
      </c>
      <c r="P50" t="s">
        <v>454</v>
      </c>
      <c r="AM50" t="s">
        <v>793</v>
      </c>
      <c r="AN50" t="s">
        <v>794</v>
      </c>
      <c r="AO50" t="s">
        <v>2119</v>
      </c>
      <c r="AP50" t="s">
        <v>2120</v>
      </c>
    </row>
    <row r="51" spans="10:42" ht="12" customHeight="1" x14ac:dyDescent="0.25">
      <c r="J51" t="s">
        <v>191</v>
      </c>
      <c r="K51" t="s">
        <v>192</v>
      </c>
      <c r="N51" t="s">
        <v>492</v>
      </c>
      <c r="O51">
        <v>605</v>
      </c>
      <c r="P51" t="s">
        <v>493</v>
      </c>
      <c r="AM51" t="s">
        <v>795</v>
      </c>
      <c r="AN51" t="s">
        <v>796</v>
      </c>
      <c r="AO51" t="s">
        <v>2053</v>
      </c>
      <c r="AP51" t="s">
        <v>2054</v>
      </c>
    </row>
    <row r="52" spans="10:42" ht="12" customHeight="1" x14ac:dyDescent="0.25">
      <c r="J52" t="s">
        <v>350</v>
      </c>
      <c r="K52" t="s">
        <v>349</v>
      </c>
      <c r="N52" t="s">
        <v>494</v>
      </c>
      <c r="O52">
        <v>606</v>
      </c>
      <c r="P52" t="s">
        <v>495</v>
      </c>
      <c r="AM52" t="s">
        <v>797</v>
      </c>
      <c r="AN52" t="s">
        <v>1269</v>
      </c>
      <c r="AO52" t="s">
        <v>2055</v>
      </c>
      <c r="AP52" t="s">
        <v>2056</v>
      </c>
    </row>
    <row r="53" spans="10:42" ht="12" customHeight="1" x14ac:dyDescent="0.25">
      <c r="J53" t="s">
        <v>205</v>
      </c>
      <c r="K53" t="s">
        <v>206</v>
      </c>
      <c r="N53" t="s">
        <v>437</v>
      </c>
      <c r="O53">
        <v>522</v>
      </c>
      <c r="P53" t="s">
        <v>438</v>
      </c>
      <c r="AM53" t="s">
        <v>798</v>
      </c>
      <c r="AN53" t="s">
        <v>799</v>
      </c>
      <c r="AO53" t="s">
        <v>2057</v>
      </c>
      <c r="AP53" t="s">
        <v>2058</v>
      </c>
    </row>
    <row r="54" spans="10:42" ht="12" customHeight="1" x14ac:dyDescent="0.25">
      <c r="J54" t="s">
        <v>197</v>
      </c>
      <c r="K54" t="s">
        <v>198</v>
      </c>
      <c r="N54" t="s">
        <v>478</v>
      </c>
      <c r="O54">
        <v>593</v>
      </c>
      <c r="P54" t="s">
        <v>479</v>
      </c>
      <c r="AM54" t="s">
        <v>800</v>
      </c>
      <c r="AN54" t="s">
        <v>801</v>
      </c>
      <c r="AO54" t="s">
        <v>2059</v>
      </c>
      <c r="AP54" t="s">
        <v>2060</v>
      </c>
    </row>
    <row r="55" spans="10:42" ht="12" customHeight="1" x14ac:dyDescent="0.25">
      <c r="J55" t="s">
        <v>177</v>
      </c>
      <c r="K55" t="s">
        <v>178</v>
      </c>
      <c r="N55" t="s">
        <v>498</v>
      </c>
      <c r="O55">
        <v>70</v>
      </c>
      <c r="P55" t="s">
        <v>499</v>
      </c>
      <c r="AM55" t="s">
        <v>802</v>
      </c>
      <c r="AN55" t="s">
        <v>803</v>
      </c>
      <c r="AO55" t="s">
        <v>2061</v>
      </c>
      <c r="AP55" t="s">
        <v>2062</v>
      </c>
    </row>
    <row r="56" spans="10:42" ht="12" customHeight="1" x14ac:dyDescent="0.25">
      <c r="J56" t="s">
        <v>203</v>
      </c>
      <c r="K56" t="s">
        <v>204</v>
      </c>
      <c r="N56" t="s">
        <v>462</v>
      </c>
      <c r="O56">
        <v>55</v>
      </c>
      <c r="P56" t="s">
        <v>463</v>
      </c>
      <c r="AM56" t="s">
        <v>804</v>
      </c>
      <c r="AN56" t="s">
        <v>1270</v>
      </c>
      <c r="AO56" t="s">
        <v>2063</v>
      </c>
      <c r="AP56" t="s">
        <v>2064</v>
      </c>
    </row>
    <row r="57" spans="10:42" ht="12" customHeight="1" x14ac:dyDescent="0.25">
      <c r="J57" t="s">
        <v>209</v>
      </c>
      <c r="K57" t="s">
        <v>210</v>
      </c>
      <c r="N57" t="s">
        <v>472</v>
      </c>
      <c r="O57">
        <v>59</v>
      </c>
      <c r="P57" t="s">
        <v>473</v>
      </c>
      <c r="AM57" t="s">
        <v>805</v>
      </c>
      <c r="AN57" t="s">
        <v>1271</v>
      </c>
      <c r="AO57" t="s">
        <v>2065</v>
      </c>
      <c r="AP57" t="s">
        <v>2066</v>
      </c>
    </row>
    <row r="58" spans="10:42" ht="12" customHeight="1" x14ac:dyDescent="0.25">
      <c r="J58" t="s">
        <v>213</v>
      </c>
      <c r="K58" t="s">
        <v>214</v>
      </c>
      <c r="N58" t="s">
        <v>480</v>
      </c>
      <c r="O58">
        <v>594</v>
      </c>
      <c r="P58" t="s">
        <v>481</v>
      </c>
      <c r="AM58" t="s">
        <v>806</v>
      </c>
      <c r="AN58" t="s">
        <v>712</v>
      </c>
      <c r="AO58" t="s">
        <v>2067</v>
      </c>
      <c r="AP58" t="s">
        <v>2068</v>
      </c>
    </row>
    <row r="59" spans="10:42" ht="12" customHeight="1" x14ac:dyDescent="0.25">
      <c r="J59" t="s">
        <v>215</v>
      </c>
      <c r="K59" t="s">
        <v>216</v>
      </c>
      <c r="N59" t="s">
        <v>502</v>
      </c>
      <c r="O59">
        <v>712</v>
      </c>
      <c r="P59" t="s">
        <v>503</v>
      </c>
      <c r="AM59" t="s">
        <v>807</v>
      </c>
      <c r="AN59" t="s">
        <v>808</v>
      </c>
      <c r="AO59" t="s">
        <v>2069</v>
      </c>
      <c r="AP59" t="s">
        <v>2070</v>
      </c>
    </row>
    <row r="60" spans="10:42" ht="12" customHeight="1" x14ac:dyDescent="0.25">
      <c r="J60" t="s">
        <v>217</v>
      </c>
      <c r="K60" t="s">
        <v>218</v>
      </c>
      <c r="N60" t="s">
        <v>500</v>
      </c>
      <c r="O60">
        <v>711</v>
      </c>
      <c r="P60" t="s">
        <v>501</v>
      </c>
      <c r="AM60" t="s">
        <v>809</v>
      </c>
      <c r="AN60" t="s">
        <v>810</v>
      </c>
      <c r="AO60" t="s">
        <v>2071</v>
      </c>
      <c r="AP60" t="s">
        <v>2072</v>
      </c>
    </row>
    <row r="61" spans="10:42" ht="12" customHeight="1" x14ac:dyDescent="0.25">
      <c r="J61" t="s">
        <v>219</v>
      </c>
      <c r="K61" t="s">
        <v>220</v>
      </c>
      <c r="N61" t="s">
        <v>520</v>
      </c>
      <c r="O61">
        <v>729</v>
      </c>
      <c r="P61" t="s">
        <v>521</v>
      </c>
      <c r="AM61" t="s">
        <v>812</v>
      </c>
      <c r="AN61" t="s">
        <v>813</v>
      </c>
      <c r="AO61" t="s">
        <v>2073</v>
      </c>
      <c r="AP61" t="s">
        <v>2074</v>
      </c>
    </row>
    <row r="62" spans="10:42" ht="12" customHeight="1" x14ac:dyDescent="0.25">
      <c r="J62" t="s">
        <v>231</v>
      </c>
      <c r="K62" t="s">
        <v>232</v>
      </c>
      <c r="N62" t="s">
        <v>556</v>
      </c>
      <c r="O62">
        <v>80</v>
      </c>
      <c r="P62" t="s">
        <v>557</v>
      </c>
      <c r="AM62" t="s">
        <v>814</v>
      </c>
      <c r="AN62" t="s">
        <v>815</v>
      </c>
      <c r="AO62" t="s">
        <v>2075</v>
      </c>
      <c r="AP62" t="s">
        <v>2076</v>
      </c>
    </row>
    <row r="63" spans="10:42" ht="12" customHeight="1" x14ac:dyDescent="0.25">
      <c r="J63" t="s">
        <v>225</v>
      </c>
      <c r="K63" t="s">
        <v>226</v>
      </c>
      <c r="N63" t="s">
        <v>510</v>
      </c>
      <c r="O63">
        <v>724</v>
      </c>
      <c r="P63" t="s">
        <v>511</v>
      </c>
      <c r="AM63" t="s">
        <v>816</v>
      </c>
      <c r="AN63" t="s">
        <v>817</v>
      </c>
      <c r="AO63" t="s">
        <v>122</v>
      </c>
      <c r="AP63" t="s">
        <v>2077</v>
      </c>
    </row>
    <row r="64" spans="10:42" ht="12" customHeight="1" x14ac:dyDescent="0.25">
      <c r="J64" t="s">
        <v>227</v>
      </c>
      <c r="K64" t="s">
        <v>228</v>
      </c>
      <c r="N64" t="s">
        <v>522</v>
      </c>
      <c r="O64">
        <v>73</v>
      </c>
      <c r="P64" t="s">
        <v>523</v>
      </c>
      <c r="AM64" t="s">
        <v>818</v>
      </c>
      <c r="AN64" t="s">
        <v>819</v>
      </c>
      <c r="AO64" t="s">
        <v>2078</v>
      </c>
      <c r="AP64" t="s">
        <v>2079</v>
      </c>
    </row>
    <row r="65" spans="10:42" ht="12" customHeight="1" x14ac:dyDescent="0.25">
      <c r="J65" t="s">
        <v>229</v>
      </c>
      <c r="K65" t="s">
        <v>230</v>
      </c>
      <c r="N65" t="s">
        <v>490</v>
      </c>
      <c r="O65">
        <v>604</v>
      </c>
      <c r="P65" t="s">
        <v>491</v>
      </c>
      <c r="AM65" t="s">
        <v>820</v>
      </c>
      <c r="AN65" t="s">
        <v>1272</v>
      </c>
      <c r="AO65" t="s">
        <v>158</v>
      </c>
      <c r="AP65" t="s">
        <v>2080</v>
      </c>
    </row>
    <row r="66" spans="10:42" ht="12" customHeight="1" x14ac:dyDescent="0.25">
      <c r="J66" t="s">
        <v>233</v>
      </c>
      <c r="K66" t="s">
        <v>234</v>
      </c>
      <c r="N66" t="s">
        <v>534</v>
      </c>
      <c r="O66">
        <v>76</v>
      </c>
      <c r="P66" t="s">
        <v>535</v>
      </c>
      <c r="AM66" t="s">
        <v>821</v>
      </c>
      <c r="AN66" t="s">
        <v>822</v>
      </c>
      <c r="AO66" t="s">
        <v>138</v>
      </c>
      <c r="AP66" t="s">
        <v>2081</v>
      </c>
    </row>
    <row r="67" spans="10:42" ht="12" customHeight="1" x14ac:dyDescent="0.25">
      <c r="J67" t="s">
        <v>223</v>
      </c>
      <c r="K67" t="s">
        <v>224</v>
      </c>
      <c r="N67" t="s">
        <v>417</v>
      </c>
      <c r="O67">
        <v>512</v>
      </c>
      <c r="P67" t="s">
        <v>418</v>
      </c>
      <c r="AM67" t="s">
        <v>823</v>
      </c>
      <c r="AN67" t="s">
        <v>824</v>
      </c>
      <c r="AO67" t="s">
        <v>130</v>
      </c>
      <c r="AP67" t="s">
        <v>2082</v>
      </c>
    </row>
    <row r="68" spans="10:42" ht="12" customHeight="1" x14ac:dyDescent="0.25">
      <c r="J68" t="s">
        <v>221</v>
      </c>
      <c r="K68" t="s">
        <v>222</v>
      </c>
      <c r="N68" t="s">
        <v>431</v>
      </c>
      <c r="O68">
        <v>519</v>
      </c>
      <c r="P68" t="s">
        <v>432</v>
      </c>
      <c r="AM68" t="s">
        <v>825</v>
      </c>
      <c r="AN68" t="s">
        <v>1273</v>
      </c>
      <c r="AO68" t="s">
        <v>126</v>
      </c>
      <c r="AP68" t="s">
        <v>2083</v>
      </c>
    </row>
    <row r="69" spans="10:42" ht="12" customHeight="1" x14ac:dyDescent="0.25">
      <c r="J69" t="s">
        <v>235</v>
      </c>
      <c r="K69" t="s">
        <v>236</v>
      </c>
      <c r="N69" t="s">
        <v>560</v>
      </c>
      <c r="O69">
        <v>82</v>
      </c>
      <c r="P69" t="s">
        <v>561</v>
      </c>
      <c r="AM69" t="s">
        <v>826</v>
      </c>
      <c r="AN69" t="s">
        <v>827</v>
      </c>
      <c r="AO69" t="s">
        <v>168</v>
      </c>
      <c r="AP69" t="s">
        <v>2084</v>
      </c>
    </row>
    <row r="70" spans="10:42" ht="12" customHeight="1" x14ac:dyDescent="0.25">
      <c r="J70" t="s">
        <v>237</v>
      </c>
      <c r="K70" t="s">
        <v>238</v>
      </c>
      <c r="N70" t="s">
        <v>544</v>
      </c>
      <c r="O70">
        <v>765</v>
      </c>
      <c r="P70" t="s">
        <v>545</v>
      </c>
      <c r="AM70" t="s">
        <v>828</v>
      </c>
      <c r="AN70" t="s">
        <v>829</v>
      </c>
      <c r="AO70" t="s">
        <v>132</v>
      </c>
      <c r="AP70" t="s">
        <v>2085</v>
      </c>
    </row>
    <row r="71" spans="10:42" ht="12" customHeight="1" x14ac:dyDescent="0.25">
      <c r="J71" t="s">
        <v>239</v>
      </c>
      <c r="K71" t="s">
        <v>240</v>
      </c>
      <c r="N71" t="s">
        <v>562</v>
      </c>
      <c r="O71">
        <v>83</v>
      </c>
      <c r="P71" t="s">
        <v>563</v>
      </c>
      <c r="AM71" t="s">
        <v>830</v>
      </c>
      <c r="AN71" t="s">
        <v>1274</v>
      </c>
      <c r="AO71" t="s">
        <v>170</v>
      </c>
      <c r="AP71" t="s">
        <v>2086</v>
      </c>
    </row>
    <row r="72" spans="10:42" ht="12" customHeight="1" x14ac:dyDescent="0.25">
      <c r="J72" t="s">
        <v>243</v>
      </c>
      <c r="K72" t="s">
        <v>244</v>
      </c>
      <c r="N72" t="s">
        <v>488</v>
      </c>
      <c r="O72">
        <v>603</v>
      </c>
      <c r="P72" t="s">
        <v>489</v>
      </c>
      <c r="AM72" t="s">
        <v>831</v>
      </c>
      <c r="AN72" t="s">
        <v>1275</v>
      </c>
      <c r="AO72" t="s">
        <v>142</v>
      </c>
      <c r="AP72" t="s">
        <v>2087</v>
      </c>
    </row>
    <row r="73" spans="10:42" ht="12" customHeight="1" x14ac:dyDescent="0.25">
      <c r="J73" t="s">
        <v>241</v>
      </c>
      <c r="K73" t="s">
        <v>242</v>
      </c>
      <c r="N73" t="s">
        <v>542</v>
      </c>
      <c r="O73">
        <v>764</v>
      </c>
      <c r="P73" t="s">
        <v>543</v>
      </c>
      <c r="AM73" t="s">
        <v>832</v>
      </c>
      <c r="AN73" t="s">
        <v>833</v>
      </c>
      <c r="AO73" t="s">
        <v>2088</v>
      </c>
      <c r="AP73" t="s">
        <v>2089</v>
      </c>
    </row>
    <row r="74" spans="10:42" ht="12" customHeight="1" x14ac:dyDescent="0.25">
      <c r="J74" t="s">
        <v>245</v>
      </c>
      <c r="K74" t="s">
        <v>246</v>
      </c>
      <c r="N74" t="s">
        <v>540</v>
      </c>
      <c r="O74">
        <v>763</v>
      </c>
      <c r="P74" t="s">
        <v>541</v>
      </c>
      <c r="AM74" t="s">
        <v>834</v>
      </c>
      <c r="AN74" t="s">
        <v>1276</v>
      </c>
      <c r="AO74" t="s">
        <v>160</v>
      </c>
      <c r="AP74" t="s">
        <v>2090</v>
      </c>
    </row>
    <row r="75" spans="10:42" ht="12" customHeight="1" x14ac:dyDescent="0.25">
      <c r="J75" t="s">
        <v>247</v>
      </c>
      <c r="K75" t="s">
        <v>248</v>
      </c>
      <c r="N75" t="s">
        <v>558</v>
      </c>
      <c r="O75">
        <v>81</v>
      </c>
      <c r="P75" t="s">
        <v>559</v>
      </c>
      <c r="AM75" t="s">
        <v>835</v>
      </c>
      <c r="AN75" t="s">
        <v>1277</v>
      </c>
      <c r="AO75" t="s">
        <v>150</v>
      </c>
      <c r="AP75" t="s">
        <v>2121</v>
      </c>
    </row>
    <row r="76" spans="10:42" ht="12" customHeight="1" x14ac:dyDescent="0.25">
      <c r="J76" t="s">
        <v>253</v>
      </c>
      <c r="K76" t="s">
        <v>254</v>
      </c>
      <c r="N76" t="s">
        <v>407</v>
      </c>
      <c r="O76">
        <v>504</v>
      </c>
      <c r="P76" t="s">
        <v>408</v>
      </c>
      <c r="AM76" t="s">
        <v>836</v>
      </c>
      <c r="AN76" t="s">
        <v>1278</v>
      </c>
      <c r="AO76" t="s">
        <v>154</v>
      </c>
      <c r="AP76" t="s">
        <v>2092</v>
      </c>
    </row>
    <row r="77" spans="10:42" ht="12" customHeight="1" x14ac:dyDescent="0.25">
      <c r="J77" t="s">
        <v>257</v>
      </c>
      <c r="K77" t="s">
        <v>258</v>
      </c>
      <c r="N77" t="s">
        <v>512</v>
      </c>
      <c r="O77">
        <v>725</v>
      </c>
      <c r="P77" t="s">
        <v>513</v>
      </c>
      <c r="AM77" t="s">
        <v>837</v>
      </c>
      <c r="AN77" t="s">
        <v>1279</v>
      </c>
      <c r="AO77" t="s">
        <v>124</v>
      </c>
      <c r="AP77" t="s">
        <v>2093</v>
      </c>
    </row>
    <row r="78" spans="10:42" ht="12" customHeight="1" x14ac:dyDescent="0.25">
      <c r="J78" t="s">
        <v>249</v>
      </c>
      <c r="K78" t="s">
        <v>250</v>
      </c>
      <c r="N78" t="s">
        <v>550</v>
      </c>
      <c r="O78">
        <v>78</v>
      </c>
      <c r="P78" t="s">
        <v>551</v>
      </c>
      <c r="AM78" t="s">
        <v>838</v>
      </c>
      <c r="AN78" t="s">
        <v>839</v>
      </c>
      <c r="AO78" t="s">
        <v>2094</v>
      </c>
      <c r="AP78" t="s">
        <v>2095</v>
      </c>
    </row>
    <row r="79" spans="10:42" ht="12" customHeight="1" x14ac:dyDescent="0.25">
      <c r="J79" t="s">
        <v>251</v>
      </c>
      <c r="K79" t="s">
        <v>252</v>
      </c>
      <c r="N79" t="s">
        <v>506</v>
      </c>
      <c r="O79">
        <v>721</v>
      </c>
      <c r="P79" t="s">
        <v>507</v>
      </c>
      <c r="AM79" t="s">
        <v>840</v>
      </c>
      <c r="AN79" t="s">
        <v>841</v>
      </c>
      <c r="AO79" t="s">
        <v>164</v>
      </c>
      <c r="AP79" t="s">
        <v>2096</v>
      </c>
    </row>
    <row r="80" spans="10:42" ht="12" customHeight="1" x14ac:dyDescent="0.25">
      <c r="J80" t="s">
        <v>255</v>
      </c>
      <c r="K80" t="s">
        <v>256</v>
      </c>
      <c r="N80" t="s">
        <v>445</v>
      </c>
      <c r="O80">
        <v>53</v>
      </c>
      <c r="P80" t="s">
        <v>446</v>
      </c>
      <c r="AM80" t="s">
        <v>842</v>
      </c>
      <c r="AN80" t="s">
        <v>843</v>
      </c>
      <c r="AO80" t="s">
        <v>156</v>
      </c>
      <c r="AP80" t="s">
        <v>2097</v>
      </c>
    </row>
    <row r="81" spans="10:42" ht="12" customHeight="1" x14ac:dyDescent="0.25">
      <c r="J81" t="s">
        <v>259</v>
      </c>
      <c r="K81" t="s">
        <v>78</v>
      </c>
      <c r="N81" t="s">
        <v>411</v>
      </c>
      <c r="O81">
        <v>506</v>
      </c>
      <c r="P81" t="s">
        <v>412</v>
      </c>
      <c r="AM81" t="s">
        <v>844</v>
      </c>
      <c r="AN81" t="s">
        <v>845</v>
      </c>
      <c r="AO81" t="s">
        <v>2098</v>
      </c>
      <c r="AP81" t="s">
        <v>2099</v>
      </c>
    </row>
    <row r="82" spans="10:42" ht="12" customHeight="1" x14ac:dyDescent="0.25">
      <c r="J82" t="s">
        <v>260</v>
      </c>
      <c r="K82" t="s">
        <v>261</v>
      </c>
      <c r="N82" t="s">
        <v>576</v>
      </c>
      <c r="O82">
        <v>502</v>
      </c>
      <c r="P82" t="s">
        <v>404</v>
      </c>
      <c r="AM82" t="s">
        <v>846</v>
      </c>
      <c r="AN82" t="s">
        <v>847</v>
      </c>
      <c r="AO82" t="s">
        <v>148</v>
      </c>
      <c r="AP82" t="s">
        <v>2100</v>
      </c>
    </row>
    <row r="83" spans="10:42" ht="12" customHeight="1" x14ac:dyDescent="0.25">
      <c r="J83" t="s">
        <v>262</v>
      </c>
      <c r="K83" t="s">
        <v>263</v>
      </c>
      <c r="N83" t="s">
        <v>546</v>
      </c>
      <c r="O83">
        <v>766</v>
      </c>
      <c r="P83" t="s">
        <v>547</v>
      </c>
      <c r="AM83" t="s">
        <v>848</v>
      </c>
      <c r="AN83" t="s">
        <v>849</v>
      </c>
      <c r="AO83" t="s">
        <v>136</v>
      </c>
      <c r="AP83" t="s">
        <v>2101</v>
      </c>
    </row>
    <row r="84" spans="10:42" ht="12" customHeight="1" x14ac:dyDescent="0.25">
      <c r="J84" t="s">
        <v>270</v>
      </c>
      <c r="K84" t="s">
        <v>271</v>
      </c>
      <c r="N84" t="s">
        <v>528</v>
      </c>
      <c r="O84">
        <v>751</v>
      </c>
      <c r="P84" t="s">
        <v>529</v>
      </c>
      <c r="AM84" t="s">
        <v>850</v>
      </c>
      <c r="AN84" t="s">
        <v>851</v>
      </c>
      <c r="AO84" t="s">
        <v>134</v>
      </c>
      <c r="AP84" t="s">
        <v>2102</v>
      </c>
    </row>
    <row r="85" spans="10:42" ht="12" customHeight="1" x14ac:dyDescent="0.25">
      <c r="J85" t="s">
        <v>272</v>
      </c>
      <c r="K85" t="s">
        <v>273</v>
      </c>
      <c r="N85" t="s">
        <v>486</v>
      </c>
      <c r="O85">
        <v>602</v>
      </c>
      <c r="P85" t="s">
        <v>487</v>
      </c>
      <c r="AM85" t="s">
        <v>852</v>
      </c>
      <c r="AN85" t="s">
        <v>853</v>
      </c>
      <c r="AO85" t="s">
        <v>140</v>
      </c>
      <c r="AP85" t="s">
        <v>2103</v>
      </c>
    </row>
    <row r="86" spans="10:42" ht="12" customHeight="1" x14ac:dyDescent="0.25">
      <c r="J86" t="s">
        <v>266</v>
      </c>
      <c r="K86" t="s">
        <v>267</v>
      </c>
      <c r="N86" t="s">
        <v>484</v>
      </c>
      <c r="O86">
        <v>601</v>
      </c>
      <c r="P86" t="s">
        <v>485</v>
      </c>
      <c r="AM86" t="s">
        <v>854</v>
      </c>
      <c r="AN86" t="s">
        <v>855</v>
      </c>
      <c r="AO86" t="s">
        <v>206</v>
      </c>
      <c r="AP86" t="s">
        <v>2122</v>
      </c>
    </row>
    <row r="87" spans="10:42" ht="12" customHeight="1" x14ac:dyDescent="0.25">
      <c r="J87" t="s">
        <v>264</v>
      </c>
      <c r="K87" t="s">
        <v>265</v>
      </c>
      <c r="N87" t="s">
        <v>413</v>
      </c>
      <c r="O87">
        <v>51</v>
      </c>
      <c r="P87" t="s">
        <v>414</v>
      </c>
      <c r="AM87" t="s">
        <v>856</v>
      </c>
      <c r="AN87" t="s">
        <v>857</v>
      </c>
      <c r="AO87" t="s">
        <v>2104</v>
      </c>
      <c r="AP87" t="s">
        <v>2105</v>
      </c>
    </row>
    <row r="88" spans="10:42" ht="12" customHeight="1" x14ac:dyDescent="0.25">
      <c r="J88" t="s">
        <v>268</v>
      </c>
      <c r="K88" t="s">
        <v>269</v>
      </c>
      <c r="N88" t="s">
        <v>468</v>
      </c>
      <c r="O88">
        <v>553</v>
      </c>
      <c r="P88" t="s">
        <v>469</v>
      </c>
      <c r="AM88" t="s">
        <v>858</v>
      </c>
      <c r="AN88" t="s">
        <v>859</v>
      </c>
      <c r="AO88" t="s">
        <v>2106</v>
      </c>
      <c r="AP88" t="s">
        <v>2107</v>
      </c>
    </row>
    <row r="89" spans="10:42" ht="12" customHeight="1" x14ac:dyDescent="0.25">
      <c r="J89" t="s">
        <v>276</v>
      </c>
      <c r="K89" t="s">
        <v>277</v>
      </c>
      <c r="N89" t="s">
        <v>405</v>
      </c>
      <c r="O89">
        <v>503</v>
      </c>
      <c r="P89" t="s">
        <v>406</v>
      </c>
      <c r="AM89" t="s">
        <v>860</v>
      </c>
      <c r="AN89" t="s">
        <v>861</v>
      </c>
      <c r="AO89" t="s">
        <v>172</v>
      </c>
      <c r="AP89" t="s">
        <v>2108</v>
      </c>
    </row>
    <row r="90" spans="10:42" ht="12" customHeight="1" x14ac:dyDescent="0.25">
      <c r="J90" t="s">
        <v>278</v>
      </c>
      <c r="K90" t="s">
        <v>279</v>
      </c>
      <c r="N90" t="s">
        <v>504</v>
      </c>
      <c r="O90">
        <v>72</v>
      </c>
      <c r="P90" t="s">
        <v>505</v>
      </c>
      <c r="AM90" t="s">
        <v>862</v>
      </c>
      <c r="AN90" t="s">
        <v>863</v>
      </c>
      <c r="AO90" t="s">
        <v>2110</v>
      </c>
      <c r="AP90" t="s">
        <v>2111</v>
      </c>
    </row>
    <row r="91" spans="10:42" ht="12" customHeight="1" x14ac:dyDescent="0.25">
      <c r="J91" t="s">
        <v>290</v>
      </c>
      <c r="K91" t="s">
        <v>291</v>
      </c>
      <c r="AM91" t="s">
        <v>864</v>
      </c>
      <c r="AN91" t="s">
        <v>704</v>
      </c>
      <c r="AO91" t="s">
        <v>180</v>
      </c>
      <c r="AP91" t="s">
        <v>2112</v>
      </c>
    </row>
    <row r="92" spans="10:42" ht="12" customHeight="1" x14ac:dyDescent="0.25">
      <c r="J92" t="s">
        <v>280</v>
      </c>
      <c r="K92" t="s">
        <v>281</v>
      </c>
      <c r="AM92" t="s">
        <v>865</v>
      </c>
      <c r="AN92" t="s">
        <v>866</v>
      </c>
      <c r="AO92" t="s">
        <v>349</v>
      </c>
      <c r="AP92" t="s">
        <v>2113</v>
      </c>
    </row>
    <row r="93" spans="10:42" ht="12" customHeight="1" x14ac:dyDescent="0.25">
      <c r="J93" t="s">
        <v>292</v>
      </c>
      <c r="K93" t="s">
        <v>293</v>
      </c>
      <c r="AM93" t="s">
        <v>867</v>
      </c>
      <c r="AN93" t="s">
        <v>868</v>
      </c>
      <c r="AO93" t="s">
        <v>192</v>
      </c>
      <c r="AP93" t="s">
        <v>2114</v>
      </c>
    </row>
    <row r="94" spans="10:42" ht="12" customHeight="1" x14ac:dyDescent="0.25">
      <c r="J94" t="s">
        <v>282</v>
      </c>
      <c r="K94" t="s">
        <v>283</v>
      </c>
      <c r="AM94" t="s">
        <v>869</v>
      </c>
      <c r="AN94" t="s">
        <v>870</v>
      </c>
      <c r="AO94" t="s">
        <v>2115</v>
      </c>
      <c r="AP94" t="s">
        <v>2116</v>
      </c>
    </row>
    <row r="95" spans="10:42" ht="12" customHeight="1" x14ac:dyDescent="0.25">
      <c r="J95" t="s">
        <v>288</v>
      </c>
      <c r="K95" t="s">
        <v>289</v>
      </c>
      <c r="AM95" t="s">
        <v>871</v>
      </c>
      <c r="AN95" t="s">
        <v>872</v>
      </c>
      <c r="AO95" t="s">
        <v>208</v>
      </c>
      <c r="AP95" t="s">
        <v>2117</v>
      </c>
    </row>
    <row r="96" spans="10:42" ht="12" customHeight="1" x14ac:dyDescent="0.25">
      <c r="J96" t="s">
        <v>307</v>
      </c>
      <c r="K96" t="s">
        <v>306</v>
      </c>
      <c r="AM96" t="s">
        <v>873</v>
      </c>
      <c r="AN96" t="s">
        <v>874</v>
      </c>
      <c r="AO96" t="s">
        <v>176</v>
      </c>
      <c r="AP96" t="s">
        <v>2118</v>
      </c>
    </row>
    <row r="97" spans="10:42" ht="12" customHeight="1" x14ac:dyDescent="0.25">
      <c r="J97" t="s">
        <v>286</v>
      </c>
      <c r="K97" t="s">
        <v>287</v>
      </c>
      <c r="AM97" t="s">
        <v>875</v>
      </c>
      <c r="AN97" t="s">
        <v>1280</v>
      </c>
      <c r="AO97" t="s">
        <v>194</v>
      </c>
      <c r="AP97" t="s">
        <v>2123</v>
      </c>
    </row>
    <row r="98" spans="10:42" ht="12" customHeight="1" x14ac:dyDescent="0.25">
      <c r="J98" t="s">
        <v>294</v>
      </c>
      <c r="K98" t="s">
        <v>295</v>
      </c>
      <c r="AM98" t="s">
        <v>876</v>
      </c>
      <c r="AN98" t="s">
        <v>1281</v>
      </c>
      <c r="AO98" t="s">
        <v>2124</v>
      </c>
      <c r="AP98" t="s">
        <v>2125</v>
      </c>
    </row>
    <row r="99" spans="10:42" ht="12" customHeight="1" x14ac:dyDescent="0.25">
      <c r="J99" t="s">
        <v>305</v>
      </c>
      <c r="K99" t="s">
        <v>306</v>
      </c>
      <c r="AM99" t="s">
        <v>877</v>
      </c>
      <c r="AN99" t="s">
        <v>878</v>
      </c>
      <c r="AO99" t="s">
        <v>182</v>
      </c>
      <c r="AP99" t="s">
        <v>2126</v>
      </c>
    </row>
    <row r="100" spans="10:42" ht="12" customHeight="1" x14ac:dyDescent="0.25">
      <c r="J100" t="s">
        <v>284</v>
      </c>
      <c r="K100" t="s">
        <v>285</v>
      </c>
      <c r="AM100" t="s">
        <v>879</v>
      </c>
      <c r="AN100" t="s">
        <v>1282</v>
      </c>
      <c r="AO100" t="s">
        <v>2127</v>
      </c>
      <c r="AP100" t="s">
        <v>2128</v>
      </c>
    </row>
    <row r="101" spans="10:42" ht="12" customHeight="1" x14ac:dyDescent="0.25">
      <c r="J101" t="s">
        <v>303</v>
      </c>
      <c r="K101" t="s">
        <v>304</v>
      </c>
      <c r="AM101" t="s">
        <v>880</v>
      </c>
      <c r="AN101" t="s">
        <v>881</v>
      </c>
      <c r="AO101" t="s">
        <v>190</v>
      </c>
      <c r="AP101" t="s">
        <v>2129</v>
      </c>
    </row>
    <row r="102" spans="10:42" ht="12" customHeight="1" x14ac:dyDescent="0.25">
      <c r="J102" t="s">
        <v>298</v>
      </c>
      <c r="K102" t="s">
        <v>299</v>
      </c>
      <c r="AM102" t="s">
        <v>882</v>
      </c>
      <c r="AN102" t="s">
        <v>883</v>
      </c>
      <c r="AO102" t="s">
        <v>198</v>
      </c>
      <c r="AP102" t="s">
        <v>2130</v>
      </c>
    </row>
    <row r="103" spans="10:42" ht="12" customHeight="1" x14ac:dyDescent="0.25">
      <c r="J103" t="s">
        <v>296</v>
      </c>
      <c r="K103" t="s">
        <v>297</v>
      </c>
      <c r="AM103" t="s">
        <v>884</v>
      </c>
      <c r="AN103" t="s">
        <v>1283</v>
      </c>
      <c r="AO103" t="s">
        <v>186</v>
      </c>
      <c r="AP103" t="s">
        <v>2131</v>
      </c>
    </row>
    <row r="104" spans="10:42" ht="12" customHeight="1" x14ac:dyDescent="0.25">
      <c r="J104" t="s">
        <v>316</v>
      </c>
      <c r="K104" t="s">
        <v>317</v>
      </c>
      <c r="AM104" t="s">
        <v>885</v>
      </c>
      <c r="AN104" t="s">
        <v>886</v>
      </c>
      <c r="AO104" t="s">
        <v>244</v>
      </c>
      <c r="AP104" t="s">
        <v>2132</v>
      </c>
    </row>
    <row r="105" spans="10:42" ht="12" customHeight="1" x14ac:dyDescent="0.25">
      <c r="J105" t="s">
        <v>312</v>
      </c>
      <c r="K105" t="s">
        <v>313</v>
      </c>
      <c r="AM105" t="s">
        <v>887</v>
      </c>
      <c r="AN105" t="s">
        <v>888</v>
      </c>
      <c r="AO105" t="s">
        <v>204</v>
      </c>
      <c r="AP105" t="s">
        <v>2133</v>
      </c>
    </row>
    <row r="106" spans="10:42" ht="12" customHeight="1" x14ac:dyDescent="0.25">
      <c r="J106" t="s">
        <v>310</v>
      </c>
      <c r="K106" t="s">
        <v>311</v>
      </c>
      <c r="AM106" t="s">
        <v>889</v>
      </c>
      <c r="AN106" t="s">
        <v>890</v>
      </c>
      <c r="AO106" t="s">
        <v>2134</v>
      </c>
      <c r="AP106" t="s">
        <v>2135</v>
      </c>
    </row>
    <row r="107" spans="10:42" ht="12" customHeight="1" x14ac:dyDescent="0.25">
      <c r="J107" t="s">
        <v>308</v>
      </c>
      <c r="K107" t="s">
        <v>309</v>
      </c>
      <c r="AM107" t="s">
        <v>891</v>
      </c>
      <c r="AN107" t="s">
        <v>892</v>
      </c>
      <c r="AO107" t="s">
        <v>210</v>
      </c>
      <c r="AP107" t="s">
        <v>2136</v>
      </c>
    </row>
    <row r="108" spans="10:42" ht="12" customHeight="1" x14ac:dyDescent="0.25">
      <c r="J108" t="s">
        <v>318</v>
      </c>
      <c r="K108" t="s">
        <v>319</v>
      </c>
      <c r="AM108" t="s">
        <v>893</v>
      </c>
      <c r="AN108" t="s">
        <v>1284</v>
      </c>
      <c r="AO108" t="s">
        <v>212</v>
      </c>
      <c r="AP108" t="s">
        <v>2137</v>
      </c>
    </row>
    <row r="109" spans="10:42" ht="12" customHeight="1" x14ac:dyDescent="0.25">
      <c r="J109" t="s">
        <v>314</v>
      </c>
      <c r="K109" t="s">
        <v>315</v>
      </c>
      <c r="AM109" t="s">
        <v>894</v>
      </c>
      <c r="AN109" t="s">
        <v>895</v>
      </c>
      <c r="AO109" t="s">
        <v>2138</v>
      </c>
      <c r="AP109" t="s">
        <v>2139</v>
      </c>
    </row>
    <row r="110" spans="10:42" ht="12" customHeight="1" x14ac:dyDescent="0.25">
      <c r="J110" t="s">
        <v>328</v>
      </c>
      <c r="K110" t="s">
        <v>329</v>
      </c>
      <c r="AM110" t="s">
        <v>897</v>
      </c>
      <c r="AN110" t="s">
        <v>896</v>
      </c>
      <c r="AO110" t="s">
        <v>214</v>
      </c>
      <c r="AP110" t="s">
        <v>2140</v>
      </c>
    </row>
    <row r="111" spans="10:42" ht="12" customHeight="1" x14ac:dyDescent="0.25">
      <c r="J111" t="s">
        <v>320</v>
      </c>
      <c r="K111" t="s">
        <v>321</v>
      </c>
      <c r="AM111" t="s">
        <v>898</v>
      </c>
      <c r="AN111" t="s">
        <v>899</v>
      </c>
      <c r="AO111" t="s">
        <v>2141</v>
      </c>
      <c r="AP111" t="s">
        <v>2142</v>
      </c>
    </row>
    <row r="112" spans="10:42" ht="12" customHeight="1" x14ac:dyDescent="0.25">
      <c r="J112" t="s">
        <v>326</v>
      </c>
      <c r="K112" t="s">
        <v>327</v>
      </c>
      <c r="AM112" t="s">
        <v>1245</v>
      </c>
      <c r="AN112" t="s">
        <v>1912</v>
      </c>
      <c r="AO112" t="s">
        <v>2143</v>
      </c>
      <c r="AP112" t="s">
        <v>2144</v>
      </c>
    </row>
    <row r="113" spans="10:42" ht="12" customHeight="1" x14ac:dyDescent="0.25">
      <c r="J113" t="s">
        <v>322</v>
      </c>
      <c r="K113" t="s">
        <v>323</v>
      </c>
      <c r="AM113" t="s">
        <v>900</v>
      </c>
      <c r="AN113" t="s">
        <v>901</v>
      </c>
      <c r="AO113" t="s">
        <v>2145</v>
      </c>
      <c r="AP113" t="s">
        <v>2146</v>
      </c>
    </row>
    <row r="114" spans="10:42" ht="12" customHeight="1" x14ac:dyDescent="0.25">
      <c r="J114" t="s">
        <v>336</v>
      </c>
      <c r="K114" t="s">
        <v>337</v>
      </c>
      <c r="AM114" t="s">
        <v>902</v>
      </c>
      <c r="AN114" t="s">
        <v>1285</v>
      </c>
      <c r="AO114" t="s">
        <v>2147</v>
      </c>
      <c r="AP114" t="s">
        <v>2148</v>
      </c>
    </row>
    <row r="115" spans="10:42" ht="12" customHeight="1" x14ac:dyDescent="0.25">
      <c r="J115" t="s">
        <v>334</v>
      </c>
      <c r="K115" t="s">
        <v>335</v>
      </c>
      <c r="AM115" t="s">
        <v>903</v>
      </c>
      <c r="AN115" t="s">
        <v>904</v>
      </c>
      <c r="AO115" t="s">
        <v>2149</v>
      </c>
      <c r="AP115" t="s">
        <v>2150</v>
      </c>
    </row>
    <row r="116" spans="10:42" ht="12" customHeight="1" x14ac:dyDescent="0.25">
      <c r="J116" t="s">
        <v>342</v>
      </c>
      <c r="K116" t="s">
        <v>343</v>
      </c>
      <c r="AM116" t="s">
        <v>905</v>
      </c>
      <c r="AN116" t="s">
        <v>906</v>
      </c>
      <c r="AO116" t="s">
        <v>2151</v>
      </c>
      <c r="AP116" t="s">
        <v>2152</v>
      </c>
    </row>
    <row r="117" spans="10:42" ht="12" customHeight="1" x14ac:dyDescent="0.25">
      <c r="J117" t="s">
        <v>340</v>
      </c>
      <c r="K117" t="s">
        <v>341</v>
      </c>
      <c r="AM117" t="s">
        <v>907</v>
      </c>
      <c r="AN117" t="s">
        <v>908</v>
      </c>
      <c r="AO117" t="s">
        <v>2153</v>
      </c>
      <c r="AP117" t="s">
        <v>2154</v>
      </c>
    </row>
    <row r="118" spans="10:42" ht="12" customHeight="1" x14ac:dyDescent="0.25">
      <c r="J118" t="s">
        <v>330</v>
      </c>
      <c r="K118" t="s">
        <v>331</v>
      </c>
      <c r="AM118" t="s">
        <v>909</v>
      </c>
      <c r="AN118" t="s">
        <v>910</v>
      </c>
      <c r="AO118" t="s">
        <v>2155</v>
      </c>
      <c r="AP118" t="s">
        <v>2156</v>
      </c>
    </row>
    <row r="119" spans="10:42" ht="12" customHeight="1" x14ac:dyDescent="0.25">
      <c r="J119" t="s">
        <v>332</v>
      </c>
      <c r="K119" t="s">
        <v>333</v>
      </c>
      <c r="AM119" t="s">
        <v>911</v>
      </c>
      <c r="AN119" t="s">
        <v>912</v>
      </c>
      <c r="AO119" t="s">
        <v>2157</v>
      </c>
      <c r="AP119" t="s">
        <v>2158</v>
      </c>
    </row>
    <row r="120" spans="10:42" ht="12" customHeight="1" x14ac:dyDescent="0.25">
      <c r="J120" t="s">
        <v>324</v>
      </c>
      <c r="K120" t="s">
        <v>325</v>
      </c>
      <c r="AM120" t="s">
        <v>913</v>
      </c>
      <c r="AN120" t="s">
        <v>914</v>
      </c>
      <c r="AO120" t="s">
        <v>2159</v>
      </c>
      <c r="AP120" t="s">
        <v>2160</v>
      </c>
    </row>
    <row r="121" spans="10:42" ht="12" customHeight="1" x14ac:dyDescent="0.25">
      <c r="J121" t="s">
        <v>338</v>
      </c>
      <c r="K121" t="s">
        <v>339</v>
      </c>
      <c r="AM121" t="s">
        <v>915</v>
      </c>
      <c r="AN121" t="s">
        <v>916</v>
      </c>
      <c r="AO121" t="s">
        <v>230</v>
      </c>
      <c r="AP121" t="s">
        <v>2161</v>
      </c>
    </row>
    <row r="122" spans="10:42" ht="12" customHeight="1" x14ac:dyDescent="0.25">
      <c r="J122" t="s">
        <v>363</v>
      </c>
      <c r="K122" t="s">
        <v>364</v>
      </c>
      <c r="AM122" t="s">
        <v>917</v>
      </c>
      <c r="AN122" t="s">
        <v>918</v>
      </c>
      <c r="AO122" t="s">
        <v>2162</v>
      </c>
      <c r="AP122" t="s">
        <v>2163</v>
      </c>
    </row>
    <row r="123" spans="10:42" ht="12" customHeight="1" x14ac:dyDescent="0.25">
      <c r="J123" t="s">
        <v>351</v>
      </c>
      <c r="K123" t="s">
        <v>352</v>
      </c>
      <c r="AM123" t="s">
        <v>919</v>
      </c>
      <c r="AN123" t="s">
        <v>920</v>
      </c>
      <c r="AO123" t="s">
        <v>226</v>
      </c>
      <c r="AP123" t="s">
        <v>2164</v>
      </c>
    </row>
    <row r="124" spans="10:42" ht="12" customHeight="1" x14ac:dyDescent="0.25">
      <c r="J124" t="s">
        <v>346</v>
      </c>
      <c r="K124" t="s">
        <v>347</v>
      </c>
      <c r="AM124" t="s">
        <v>921</v>
      </c>
      <c r="AN124" t="s">
        <v>922</v>
      </c>
      <c r="AO124" t="s">
        <v>234</v>
      </c>
      <c r="AP124" t="s">
        <v>2165</v>
      </c>
    </row>
    <row r="125" spans="10:42" ht="12" customHeight="1" x14ac:dyDescent="0.25">
      <c r="J125" t="s">
        <v>353</v>
      </c>
      <c r="K125" t="s">
        <v>354</v>
      </c>
      <c r="AM125" t="s">
        <v>923</v>
      </c>
      <c r="AN125" t="s">
        <v>924</v>
      </c>
      <c r="AO125" t="s">
        <v>2166</v>
      </c>
      <c r="AP125" t="s">
        <v>2167</v>
      </c>
    </row>
    <row r="126" spans="10:42" ht="12" customHeight="1" x14ac:dyDescent="0.25">
      <c r="J126" t="s">
        <v>302</v>
      </c>
      <c r="K126" t="s">
        <v>301</v>
      </c>
      <c r="AM126" t="s">
        <v>925</v>
      </c>
      <c r="AN126" t="s">
        <v>926</v>
      </c>
      <c r="AO126" t="s">
        <v>2168</v>
      </c>
      <c r="AP126" t="s">
        <v>2169</v>
      </c>
    </row>
    <row r="127" spans="10:42" ht="12" customHeight="1" x14ac:dyDescent="0.25">
      <c r="J127" t="s">
        <v>300</v>
      </c>
      <c r="K127" t="s">
        <v>301</v>
      </c>
      <c r="AM127" t="s">
        <v>927</v>
      </c>
      <c r="AN127" t="s">
        <v>706</v>
      </c>
      <c r="AO127" t="s">
        <v>2170</v>
      </c>
      <c r="AP127" t="s">
        <v>2171</v>
      </c>
    </row>
    <row r="128" spans="10:42" ht="12" customHeight="1" x14ac:dyDescent="0.25">
      <c r="J128" t="s">
        <v>357</v>
      </c>
      <c r="K128" t="s">
        <v>358</v>
      </c>
      <c r="AM128" t="s">
        <v>928</v>
      </c>
      <c r="AN128" t="s">
        <v>929</v>
      </c>
      <c r="AO128" t="s">
        <v>2172</v>
      </c>
      <c r="AP128" t="s">
        <v>2173</v>
      </c>
    </row>
    <row r="129" spans="10:42" ht="12" customHeight="1" x14ac:dyDescent="0.25">
      <c r="J129" t="s">
        <v>359</v>
      </c>
      <c r="K129" t="s">
        <v>360</v>
      </c>
      <c r="AM129" t="s">
        <v>930</v>
      </c>
      <c r="AN129" t="s">
        <v>1286</v>
      </c>
      <c r="AO129" t="s">
        <v>2174</v>
      </c>
      <c r="AP129" t="s">
        <v>2175</v>
      </c>
    </row>
    <row r="130" spans="10:42" ht="12" customHeight="1" x14ac:dyDescent="0.25">
      <c r="J130" t="s">
        <v>344</v>
      </c>
      <c r="K130" t="s">
        <v>345</v>
      </c>
      <c r="AM130" t="s">
        <v>931</v>
      </c>
      <c r="AN130" t="s">
        <v>1287</v>
      </c>
      <c r="AO130" t="s">
        <v>2176</v>
      </c>
      <c r="AP130" t="s">
        <v>2177</v>
      </c>
    </row>
    <row r="131" spans="10:42" ht="12" customHeight="1" x14ac:dyDescent="0.25">
      <c r="J131" t="s">
        <v>361</v>
      </c>
      <c r="K131" t="s">
        <v>362</v>
      </c>
      <c r="AM131" t="s">
        <v>932</v>
      </c>
      <c r="AN131" t="s">
        <v>1288</v>
      </c>
      <c r="AO131" t="s">
        <v>2178</v>
      </c>
      <c r="AP131" t="s">
        <v>2179</v>
      </c>
    </row>
    <row r="132" spans="10:42" ht="12" customHeight="1" x14ac:dyDescent="0.25">
      <c r="J132" t="s">
        <v>348</v>
      </c>
      <c r="K132" t="s">
        <v>349</v>
      </c>
      <c r="AM132" t="s">
        <v>933</v>
      </c>
      <c r="AN132" t="s">
        <v>934</v>
      </c>
      <c r="AO132" t="s">
        <v>2180</v>
      </c>
      <c r="AP132" t="s">
        <v>2181</v>
      </c>
    </row>
    <row r="133" spans="10:42" ht="12" customHeight="1" x14ac:dyDescent="0.25">
      <c r="J133" t="s">
        <v>365</v>
      </c>
      <c r="K133" t="s">
        <v>366</v>
      </c>
      <c r="AM133" t="s">
        <v>935</v>
      </c>
      <c r="AN133" t="s">
        <v>1289</v>
      </c>
      <c r="AO133" t="s">
        <v>238</v>
      </c>
      <c r="AP133" t="s">
        <v>2182</v>
      </c>
    </row>
    <row r="134" spans="10:42" ht="12" customHeight="1" x14ac:dyDescent="0.25">
      <c r="J134" t="s">
        <v>355</v>
      </c>
      <c r="K134" t="s">
        <v>356</v>
      </c>
      <c r="AM134" t="s">
        <v>936</v>
      </c>
      <c r="AN134" t="s">
        <v>1290</v>
      </c>
      <c r="AO134" t="s">
        <v>2183</v>
      </c>
      <c r="AP134" t="s">
        <v>2184</v>
      </c>
    </row>
    <row r="135" spans="10:42" ht="12" customHeight="1" x14ac:dyDescent="0.25">
      <c r="J135" t="s">
        <v>274</v>
      </c>
      <c r="K135" t="s">
        <v>275</v>
      </c>
      <c r="AM135" t="s">
        <v>937</v>
      </c>
      <c r="AN135" t="s">
        <v>1291</v>
      </c>
      <c r="AO135" t="s">
        <v>2185</v>
      </c>
      <c r="AP135" t="s">
        <v>2186</v>
      </c>
    </row>
    <row r="136" spans="10:42" ht="12" customHeight="1" x14ac:dyDescent="0.25">
      <c r="J136" t="s">
        <v>377</v>
      </c>
      <c r="K136" t="s">
        <v>378</v>
      </c>
      <c r="AM136" t="s">
        <v>938</v>
      </c>
      <c r="AN136" t="s">
        <v>939</v>
      </c>
      <c r="AO136" t="s">
        <v>2187</v>
      </c>
      <c r="AP136" t="s">
        <v>2188</v>
      </c>
    </row>
    <row r="137" spans="10:42" ht="12" customHeight="1" x14ac:dyDescent="0.25">
      <c r="J137" t="s">
        <v>367</v>
      </c>
      <c r="K137" t="s">
        <v>368</v>
      </c>
      <c r="AM137" t="s">
        <v>940</v>
      </c>
      <c r="AN137" t="s">
        <v>1292</v>
      </c>
      <c r="AO137" t="s">
        <v>2189</v>
      </c>
      <c r="AP137" t="s">
        <v>2190</v>
      </c>
    </row>
    <row r="138" spans="10:42" ht="12" customHeight="1" x14ac:dyDescent="0.25">
      <c r="J138" t="s">
        <v>371</v>
      </c>
      <c r="K138" t="s">
        <v>372</v>
      </c>
      <c r="AM138" t="s">
        <v>941</v>
      </c>
      <c r="AN138" t="s">
        <v>1293</v>
      </c>
      <c r="AO138" t="s">
        <v>2191</v>
      </c>
      <c r="AP138" t="s">
        <v>2192</v>
      </c>
    </row>
    <row r="139" spans="10:42" ht="12" customHeight="1" x14ac:dyDescent="0.25">
      <c r="J139" t="s">
        <v>385</v>
      </c>
      <c r="K139" t="s">
        <v>386</v>
      </c>
      <c r="AM139" t="s">
        <v>942</v>
      </c>
      <c r="AN139" t="s">
        <v>943</v>
      </c>
      <c r="AO139" t="s">
        <v>2193</v>
      </c>
      <c r="AP139" t="s">
        <v>2194</v>
      </c>
    </row>
    <row r="140" spans="10:42" ht="12" customHeight="1" x14ac:dyDescent="0.25">
      <c r="AM140" t="s">
        <v>944</v>
      </c>
      <c r="AN140" t="s">
        <v>1294</v>
      </c>
      <c r="AO140" t="s">
        <v>2195</v>
      </c>
      <c r="AP140" t="s">
        <v>2196</v>
      </c>
    </row>
    <row r="141" spans="10:42" ht="12" customHeight="1" x14ac:dyDescent="0.25">
      <c r="AM141" t="s">
        <v>945</v>
      </c>
      <c r="AN141" t="s">
        <v>946</v>
      </c>
      <c r="AO141" t="s">
        <v>2197</v>
      </c>
      <c r="AP141" t="s">
        <v>2198</v>
      </c>
    </row>
    <row r="142" spans="10:42" ht="12" customHeight="1" x14ac:dyDescent="0.25">
      <c r="AM142" t="s">
        <v>947</v>
      </c>
      <c r="AN142" t="s">
        <v>948</v>
      </c>
      <c r="AO142" t="s">
        <v>2199</v>
      </c>
      <c r="AP142" t="s">
        <v>2200</v>
      </c>
    </row>
    <row r="143" spans="10:42" ht="12" customHeight="1" x14ac:dyDescent="0.25">
      <c r="AM143" t="s">
        <v>949</v>
      </c>
      <c r="AN143" t="s">
        <v>950</v>
      </c>
      <c r="AO143" t="s">
        <v>2201</v>
      </c>
      <c r="AP143" t="s">
        <v>2202</v>
      </c>
    </row>
    <row r="144" spans="10:42" ht="12" customHeight="1" x14ac:dyDescent="0.25">
      <c r="AM144" t="s">
        <v>951</v>
      </c>
      <c r="AN144" t="s">
        <v>1295</v>
      </c>
      <c r="AO144" t="s">
        <v>2203</v>
      </c>
      <c r="AP144" t="s">
        <v>2204</v>
      </c>
    </row>
    <row r="145" spans="39:42" ht="12" customHeight="1" x14ac:dyDescent="0.25">
      <c r="AM145" t="s">
        <v>952</v>
      </c>
      <c r="AN145" t="s">
        <v>1296</v>
      </c>
      <c r="AO145" t="s">
        <v>2205</v>
      </c>
      <c r="AP145" t="s">
        <v>2206</v>
      </c>
    </row>
    <row r="146" spans="39:42" ht="12" customHeight="1" x14ac:dyDescent="0.25">
      <c r="AM146" t="s">
        <v>954</v>
      </c>
      <c r="AN146" t="s">
        <v>955</v>
      </c>
      <c r="AO146" t="s">
        <v>368</v>
      </c>
      <c r="AP146" t="s">
        <v>2207</v>
      </c>
    </row>
    <row r="147" spans="39:42" ht="12" customHeight="1" x14ac:dyDescent="0.25">
      <c r="AM147" t="s">
        <v>956</v>
      </c>
      <c r="AN147" t="s">
        <v>957</v>
      </c>
      <c r="AO147" t="s">
        <v>2208</v>
      </c>
      <c r="AP147" t="s">
        <v>2209</v>
      </c>
    </row>
    <row r="148" spans="39:42" ht="12" customHeight="1" x14ac:dyDescent="0.25">
      <c r="AM148" t="s">
        <v>958</v>
      </c>
      <c r="AN148" t="s">
        <v>959</v>
      </c>
      <c r="AO148" t="s">
        <v>2210</v>
      </c>
      <c r="AP148" t="s">
        <v>2211</v>
      </c>
    </row>
    <row r="149" spans="39:42" ht="12" customHeight="1" x14ac:dyDescent="0.25">
      <c r="AM149" t="s">
        <v>960</v>
      </c>
      <c r="AN149" t="s">
        <v>961</v>
      </c>
      <c r="AO149" t="s">
        <v>2212</v>
      </c>
      <c r="AP149" t="s">
        <v>2213</v>
      </c>
    </row>
    <row r="150" spans="39:42" ht="12" customHeight="1" x14ac:dyDescent="0.25">
      <c r="AM150" t="s">
        <v>962</v>
      </c>
      <c r="AN150" t="s">
        <v>963</v>
      </c>
      <c r="AO150" t="s">
        <v>2214</v>
      </c>
      <c r="AP150" t="s">
        <v>2215</v>
      </c>
    </row>
    <row r="151" spans="39:42" ht="12" customHeight="1" x14ac:dyDescent="0.25">
      <c r="AM151" t="s">
        <v>964</v>
      </c>
      <c r="AN151" t="s">
        <v>965</v>
      </c>
      <c r="AO151" t="s">
        <v>246</v>
      </c>
      <c r="AP151" t="s">
        <v>2216</v>
      </c>
    </row>
    <row r="152" spans="39:42" ht="12" customHeight="1" x14ac:dyDescent="0.25">
      <c r="AM152" t="s">
        <v>966</v>
      </c>
      <c r="AN152" t="s">
        <v>967</v>
      </c>
      <c r="AO152" t="s">
        <v>2217</v>
      </c>
      <c r="AP152" t="s">
        <v>2218</v>
      </c>
    </row>
    <row r="153" spans="39:42" ht="12" customHeight="1" x14ac:dyDescent="0.25">
      <c r="AM153" t="s">
        <v>968</v>
      </c>
      <c r="AN153" t="s">
        <v>969</v>
      </c>
      <c r="AO153" t="s">
        <v>2219</v>
      </c>
      <c r="AP153" t="s">
        <v>2220</v>
      </c>
    </row>
    <row r="154" spans="39:42" ht="12" customHeight="1" x14ac:dyDescent="0.25">
      <c r="AM154" t="s">
        <v>970</v>
      </c>
      <c r="AN154" t="s">
        <v>971</v>
      </c>
      <c r="AO154" t="s">
        <v>2221</v>
      </c>
      <c r="AP154" t="s">
        <v>2222</v>
      </c>
    </row>
    <row r="155" spans="39:42" ht="12" customHeight="1" x14ac:dyDescent="0.25">
      <c r="AM155" t="s">
        <v>972</v>
      </c>
      <c r="AN155" t="s">
        <v>707</v>
      </c>
      <c r="AO155" t="s">
        <v>2223</v>
      </c>
      <c r="AP155" t="s">
        <v>2224</v>
      </c>
    </row>
    <row r="156" spans="39:42" ht="12" customHeight="1" x14ac:dyDescent="0.25">
      <c r="AM156" t="s">
        <v>1437</v>
      </c>
      <c r="AN156" t="s">
        <v>1438</v>
      </c>
      <c r="AO156" t="s">
        <v>2225</v>
      </c>
      <c r="AP156" t="s">
        <v>2226</v>
      </c>
    </row>
    <row r="157" spans="39:42" ht="12" customHeight="1" x14ac:dyDescent="0.25">
      <c r="AM157" t="s">
        <v>973</v>
      </c>
      <c r="AN157" t="s">
        <v>974</v>
      </c>
      <c r="AO157" t="s">
        <v>2227</v>
      </c>
      <c r="AP157" t="s">
        <v>2228</v>
      </c>
    </row>
    <row r="158" spans="39:42" ht="12" customHeight="1" x14ac:dyDescent="0.25">
      <c r="AM158" t="s">
        <v>1145</v>
      </c>
      <c r="AN158" t="s">
        <v>1297</v>
      </c>
      <c r="AO158" t="s">
        <v>2229</v>
      </c>
      <c r="AP158" t="s">
        <v>2230</v>
      </c>
    </row>
    <row r="159" spans="39:42" ht="12" customHeight="1" x14ac:dyDescent="0.25">
      <c r="AM159" t="s">
        <v>953</v>
      </c>
      <c r="AN159" t="s">
        <v>1298</v>
      </c>
      <c r="AO159" t="s">
        <v>2231</v>
      </c>
      <c r="AP159" t="s">
        <v>2232</v>
      </c>
    </row>
    <row r="160" spans="39:42" ht="12" customHeight="1" x14ac:dyDescent="0.25">
      <c r="AM160" t="s">
        <v>1209</v>
      </c>
      <c r="AN160" t="s">
        <v>1299</v>
      </c>
      <c r="AO160" t="s">
        <v>2233</v>
      </c>
      <c r="AP160" t="s">
        <v>2234</v>
      </c>
    </row>
    <row r="161" spans="39:42" ht="12" customHeight="1" x14ac:dyDescent="0.25">
      <c r="AM161" t="s">
        <v>975</v>
      </c>
      <c r="AN161" t="s">
        <v>1300</v>
      </c>
      <c r="AO161" t="s">
        <v>2235</v>
      </c>
      <c r="AP161" t="s">
        <v>2236</v>
      </c>
    </row>
    <row r="162" spans="39:42" ht="12" customHeight="1" x14ac:dyDescent="0.25">
      <c r="AM162" t="s">
        <v>976</v>
      </c>
      <c r="AN162" t="s">
        <v>977</v>
      </c>
      <c r="AO162" t="s">
        <v>2237</v>
      </c>
      <c r="AP162" t="s">
        <v>2238</v>
      </c>
    </row>
    <row r="163" spans="39:42" ht="12" customHeight="1" x14ac:dyDescent="0.25">
      <c r="AM163" t="s">
        <v>978</v>
      </c>
      <c r="AN163" t="s">
        <v>979</v>
      </c>
      <c r="AO163" t="s">
        <v>2239</v>
      </c>
      <c r="AP163" t="s">
        <v>2240</v>
      </c>
    </row>
    <row r="164" spans="39:42" ht="12" customHeight="1" x14ac:dyDescent="0.25">
      <c r="AM164" t="s">
        <v>980</v>
      </c>
      <c r="AN164" t="s">
        <v>981</v>
      </c>
      <c r="AO164" t="s">
        <v>2241</v>
      </c>
      <c r="AP164" t="s">
        <v>2242</v>
      </c>
    </row>
    <row r="165" spans="39:42" ht="12" customHeight="1" x14ac:dyDescent="0.25">
      <c r="AM165" t="s">
        <v>982</v>
      </c>
      <c r="AN165" t="s">
        <v>983</v>
      </c>
      <c r="AO165" t="s">
        <v>2243</v>
      </c>
      <c r="AP165" t="s">
        <v>2244</v>
      </c>
    </row>
    <row r="166" spans="39:42" ht="12" customHeight="1" x14ac:dyDescent="0.25">
      <c r="AM166" t="s">
        <v>984</v>
      </c>
      <c r="AN166" t="s">
        <v>1301</v>
      </c>
      <c r="AO166" t="s">
        <v>2245</v>
      </c>
      <c r="AP166" t="s">
        <v>2246</v>
      </c>
    </row>
    <row r="167" spans="39:42" ht="12" customHeight="1" x14ac:dyDescent="0.25">
      <c r="AM167" t="s">
        <v>985</v>
      </c>
      <c r="AN167" t="s">
        <v>1302</v>
      </c>
      <c r="AO167" t="s">
        <v>2247</v>
      </c>
      <c r="AP167" t="s">
        <v>2248</v>
      </c>
    </row>
    <row r="168" spans="39:42" ht="12" customHeight="1" x14ac:dyDescent="0.25">
      <c r="AM168" t="s">
        <v>986</v>
      </c>
      <c r="AN168" t="s">
        <v>1303</v>
      </c>
      <c r="AO168" t="s">
        <v>2249</v>
      </c>
      <c r="AP168" t="s">
        <v>2250</v>
      </c>
    </row>
    <row r="169" spans="39:42" ht="12" customHeight="1" x14ac:dyDescent="0.25">
      <c r="AM169" t="s">
        <v>987</v>
      </c>
      <c r="AN169" t="s">
        <v>988</v>
      </c>
      <c r="AO169" t="s">
        <v>78</v>
      </c>
      <c r="AP169" t="s">
        <v>2251</v>
      </c>
    </row>
    <row r="170" spans="39:42" ht="12" customHeight="1" x14ac:dyDescent="0.25">
      <c r="AM170" t="s">
        <v>989</v>
      </c>
      <c r="AN170" t="s">
        <v>990</v>
      </c>
      <c r="AO170" t="s">
        <v>2252</v>
      </c>
      <c r="AP170" t="s">
        <v>2253</v>
      </c>
    </row>
    <row r="171" spans="39:42" ht="12" customHeight="1" x14ac:dyDescent="0.25">
      <c r="AM171" t="s">
        <v>991</v>
      </c>
      <c r="AN171" t="s">
        <v>992</v>
      </c>
      <c r="AO171" t="s">
        <v>2254</v>
      </c>
      <c r="AP171" t="s">
        <v>2255</v>
      </c>
    </row>
    <row r="172" spans="39:42" ht="12" customHeight="1" x14ac:dyDescent="0.25">
      <c r="AM172" t="s">
        <v>993</v>
      </c>
      <c r="AN172" t="s">
        <v>1304</v>
      </c>
      <c r="AO172" t="s">
        <v>2256</v>
      </c>
      <c r="AP172" t="s">
        <v>2257</v>
      </c>
    </row>
    <row r="173" spans="39:42" ht="12" customHeight="1" x14ac:dyDescent="0.25">
      <c r="AM173" t="s">
        <v>994</v>
      </c>
      <c r="AN173" t="s">
        <v>995</v>
      </c>
      <c r="AO173" t="s">
        <v>2258</v>
      </c>
      <c r="AP173" t="s">
        <v>2259</v>
      </c>
    </row>
    <row r="174" spans="39:42" ht="12" customHeight="1" x14ac:dyDescent="0.25">
      <c r="AM174" t="s">
        <v>996</v>
      </c>
      <c r="AN174" t="s">
        <v>997</v>
      </c>
      <c r="AO174" t="s">
        <v>2260</v>
      </c>
      <c r="AP174" t="s">
        <v>2261</v>
      </c>
    </row>
    <row r="175" spans="39:42" ht="12" customHeight="1" x14ac:dyDescent="0.25">
      <c r="AM175" t="s">
        <v>998</v>
      </c>
      <c r="AN175" t="s">
        <v>999</v>
      </c>
      <c r="AO175" t="s">
        <v>2262</v>
      </c>
      <c r="AP175" t="s">
        <v>2263</v>
      </c>
    </row>
    <row r="176" spans="39:42" ht="12" customHeight="1" x14ac:dyDescent="0.25">
      <c r="AM176" t="s">
        <v>1000</v>
      </c>
      <c r="AN176" t="s">
        <v>1305</v>
      </c>
      <c r="AO176" t="s">
        <v>2264</v>
      </c>
      <c r="AP176" t="s">
        <v>2265</v>
      </c>
    </row>
    <row r="177" spans="39:42" ht="12" customHeight="1" x14ac:dyDescent="0.25">
      <c r="AM177" t="s">
        <v>1001</v>
      </c>
      <c r="AN177" t="s">
        <v>1002</v>
      </c>
      <c r="AO177" t="s">
        <v>2266</v>
      </c>
      <c r="AP177" t="s">
        <v>2267</v>
      </c>
    </row>
    <row r="178" spans="39:42" ht="12" customHeight="1" x14ac:dyDescent="0.25">
      <c r="AM178" t="s">
        <v>1003</v>
      </c>
      <c r="AN178" t="s">
        <v>1004</v>
      </c>
      <c r="AO178" t="s">
        <v>2268</v>
      </c>
      <c r="AP178" t="s">
        <v>2269</v>
      </c>
    </row>
    <row r="179" spans="39:42" ht="12" customHeight="1" x14ac:dyDescent="0.25">
      <c r="AM179" t="s">
        <v>1005</v>
      </c>
      <c r="AN179" t="s">
        <v>1306</v>
      </c>
      <c r="AO179" t="s">
        <v>2270</v>
      </c>
      <c r="AP179" t="s">
        <v>2271</v>
      </c>
    </row>
    <row r="180" spans="39:42" ht="12" customHeight="1" x14ac:dyDescent="0.25">
      <c r="AM180" t="s">
        <v>1006</v>
      </c>
      <c r="AN180" t="s">
        <v>1007</v>
      </c>
      <c r="AO180" t="s">
        <v>2272</v>
      </c>
      <c r="AP180" t="s">
        <v>2273</v>
      </c>
    </row>
    <row r="181" spans="39:42" ht="12" customHeight="1" x14ac:dyDescent="0.25">
      <c r="AM181" t="s">
        <v>1008</v>
      </c>
      <c r="AN181" t="s">
        <v>1307</v>
      </c>
      <c r="AO181" t="s">
        <v>2274</v>
      </c>
      <c r="AP181" t="s">
        <v>2275</v>
      </c>
    </row>
    <row r="182" spans="39:42" ht="12" customHeight="1" x14ac:dyDescent="0.25">
      <c r="AM182" t="s">
        <v>1009</v>
      </c>
      <c r="AN182" t="s">
        <v>1308</v>
      </c>
      <c r="AO182" t="s">
        <v>2276</v>
      </c>
      <c r="AP182" t="s">
        <v>2277</v>
      </c>
    </row>
    <row r="183" spans="39:42" ht="12" customHeight="1" x14ac:dyDescent="0.25">
      <c r="AM183" t="s">
        <v>1010</v>
      </c>
      <c r="AN183" t="s">
        <v>1011</v>
      </c>
      <c r="AO183" t="s">
        <v>2278</v>
      </c>
      <c r="AP183" t="s">
        <v>2279</v>
      </c>
    </row>
    <row r="184" spans="39:42" ht="12" customHeight="1" x14ac:dyDescent="0.25">
      <c r="AM184" t="s">
        <v>1012</v>
      </c>
      <c r="AN184" t="s">
        <v>1013</v>
      </c>
      <c r="AO184" t="s">
        <v>2280</v>
      </c>
      <c r="AP184" t="s">
        <v>2281</v>
      </c>
    </row>
    <row r="185" spans="39:42" ht="12" customHeight="1" x14ac:dyDescent="0.25">
      <c r="AM185" t="s">
        <v>1014</v>
      </c>
      <c r="AN185" t="s">
        <v>713</v>
      </c>
      <c r="AO185" t="s">
        <v>2282</v>
      </c>
      <c r="AP185" t="s">
        <v>2283</v>
      </c>
    </row>
    <row r="186" spans="39:42" ht="12" customHeight="1" x14ac:dyDescent="0.25">
      <c r="AM186" t="s">
        <v>1015</v>
      </c>
      <c r="AN186" t="s">
        <v>1309</v>
      </c>
      <c r="AO186" t="s">
        <v>271</v>
      </c>
      <c r="AP186" t="s">
        <v>2284</v>
      </c>
    </row>
    <row r="187" spans="39:42" ht="12" customHeight="1" x14ac:dyDescent="0.25">
      <c r="AM187" t="s">
        <v>1016</v>
      </c>
      <c r="AN187" t="s">
        <v>1017</v>
      </c>
      <c r="AO187" t="s">
        <v>2285</v>
      </c>
      <c r="AP187" t="s">
        <v>2286</v>
      </c>
    </row>
    <row r="188" spans="39:42" ht="12" customHeight="1" x14ac:dyDescent="0.25">
      <c r="AM188" t="s">
        <v>1019</v>
      </c>
      <c r="AN188" t="s">
        <v>1020</v>
      </c>
      <c r="AO188" t="s">
        <v>2287</v>
      </c>
      <c r="AP188" t="s">
        <v>2288</v>
      </c>
    </row>
    <row r="189" spans="39:42" ht="12" customHeight="1" x14ac:dyDescent="0.25">
      <c r="AM189" t="s">
        <v>1021</v>
      </c>
      <c r="AN189" t="s">
        <v>1022</v>
      </c>
      <c r="AO189" t="s">
        <v>2289</v>
      </c>
      <c r="AP189" t="s">
        <v>2290</v>
      </c>
    </row>
    <row r="190" spans="39:42" ht="12" customHeight="1" x14ac:dyDescent="0.25">
      <c r="AM190" t="s">
        <v>1023</v>
      </c>
      <c r="AN190" t="s">
        <v>1024</v>
      </c>
      <c r="AO190" t="s">
        <v>2291</v>
      </c>
      <c r="AP190" t="s">
        <v>2292</v>
      </c>
    </row>
    <row r="191" spans="39:42" ht="12" customHeight="1" x14ac:dyDescent="0.25">
      <c r="AM191" t="s">
        <v>1025</v>
      </c>
      <c r="AN191" t="s">
        <v>1310</v>
      </c>
      <c r="AO191" t="s">
        <v>2293</v>
      </c>
      <c r="AP191" t="s">
        <v>2294</v>
      </c>
    </row>
    <row r="192" spans="39:42" ht="12" customHeight="1" x14ac:dyDescent="0.25">
      <c r="AM192" t="s">
        <v>1026</v>
      </c>
      <c r="AN192" t="s">
        <v>1027</v>
      </c>
      <c r="AO192" t="s">
        <v>273</v>
      </c>
      <c r="AP192" t="s">
        <v>2295</v>
      </c>
    </row>
    <row r="193" spans="39:42" ht="12" customHeight="1" x14ac:dyDescent="0.25">
      <c r="AM193" t="s">
        <v>1028</v>
      </c>
      <c r="AN193" t="s">
        <v>1311</v>
      </c>
      <c r="AO193" t="s">
        <v>2296</v>
      </c>
      <c r="AP193" t="s">
        <v>2297</v>
      </c>
    </row>
    <row r="194" spans="39:42" ht="12" customHeight="1" x14ac:dyDescent="0.25">
      <c r="AM194" t="s">
        <v>1029</v>
      </c>
      <c r="AN194" t="s">
        <v>1312</v>
      </c>
      <c r="AO194" t="s">
        <v>2298</v>
      </c>
      <c r="AP194" t="s">
        <v>2299</v>
      </c>
    </row>
    <row r="195" spans="39:42" ht="12" customHeight="1" x14ac:dyDescent="0.25">
      <c r="AM195" t="s">
        <v>1030</v>
      </c>
      <c r="AN195" t="s">
        <v>1031</v>
      </c>
      <c r="AO195" t="s">
        <v>267</v>
      </c>
      <c r="AP195" t="s">
        <v>2300</v>
      </c>
    </row>
    <row r="196" spans="39:42" ht="12" customHeight="1" x14ac:dyDescent="0.25">
      <c r="AM196" t="s">
        <v>1033</v>
      </c>
      <c r="AN196" t="s">
        <v>1034</v>
      </c>
      <c r="AO196" t="s">
        <v>2301</v>
      </c>
      <c r="AP196" t="s">
        <v>2302</v>
      </c>
    </row>
    <row r="197" spans="39:42" ht="12" customHeight="1" x14ac:dyDescent="0.25">
      <c r="AM197" t="s">
        <v>1035</v>
      </c>
      <c r="AN197" t="s">
        <v>1036</v>
      </c>
      <c r="AO197" t="s">
        <v>2303</v>
      </c>
      <c r="AP197" t="s">
        <v>2304</v>
      </c>
    </row>
    <row r="198" spans="39:42" ht="12" customHeight="1" x14ac:dyDescent="0.25">
      <c r="AM198" t="s">
        <v>1037</v>
      </c>
      <c r="AN198" t="s">
        <v>1038</v>
      </c>
      <c r="AO198" t="s">
        <v>269</v>
      </c>
      <c r="AP198" t="s">
        <v>2305</v>
      </c>
    </row>
    <row r="199" spans="39:42" ht="12" customHeight="1" x14ac:dyDescent="0.25">
      <c r="AM199" t="s">
        <v>1039</v>
      </c>
      <c r="AN199" t="s">
        <v>1313</v>
      </c>
      <c r="AO199" t="s">
        <v>2306</v>
      </c>
      <c r="AP199" t="s">
        <v>2307</v>
      </c>
    </row>
    <row r="200" spans="39:42" ht="12" customHeight="1" x14ac:dyDescent="0.25">
      <c r="AM200" t="s">
        <v>1040</v>
      </c>
      <c r="AN200" t="s">
        <v>1041</v>
      </c>
      <c r="AO200" t="s">
        <v>2308</v>
      </c>
      <c r="AP200" t="s">
        <v>2309</v>
      </c>
    </row>
    <row r="201" spans="39:42" ht="12" customHeight="1" x14ac:dyDescent="0.25">
      <c r="AM201" t="s">
        <v>1042</v>
      </c>
      <c r="AN201" t="s">
        <v>1043</v>
      </c>
      <c r="AO201" t="s">
        <v>2310</v>
      </c>
      <c r="AP201" t="s">
        <v>2311</v>
      </c>
    </row>
    <row r="202" spans="39:42" ht="12" customHeight="1" x14ac:dyDescent="0.25">
      <c r="AM202" t="s">
        <v>1044</v>
      </c>
      <c r="AN202" t="s">
        <v>1045</v>
      </c>
      <c r="AO202" t="s">
        <v>2312</v>
      </c>
      <c r="AP202" t="s">
        <v>2313</v>
      </c>
    </row>
    <row r="203" spans="39:42" ht="12" customHeight="1" x14ac:dyDescent="0.25">
      <c r="AM203" t="s">
        <v>1046</v>
      </c>
      <c r="AN203" t="s">
        <v>1314</v>
      </c>
      <c r="AO203" t="s">
        <v>2314</v>
      </c>
      <c r="AP203" t="s">
        <v>2315</v>
      </c>
    </row>
    <row r="204" spans="39:42" ht="12" customHeight="1" x14ac:dyDescent="0.25">
      <c r="AM204" t="s">
        <v>1047</v>
      </c>
      <c r="AN204" t="s">
        <v>1048</v>
      </c>
      <c r="AO204" t="s">
        <v>2316</v>
      </c>
      <c r="AP204" t="s">
        <v>2317</v>
      </c>
    </row>
    <row r="205" spans="39:42" ht="12" customHeight="1" x14ac:dyDescent="0.25">
      <c r="AM205" t="s">
        <v>1049</v>
      </c>
      <c r="AN205" t="s">
        <v>1315</v>
      </c>
      <c r="AO205" t="s">
        <v>2318</v>
      </c>
      <c r="AP205" t="s">
        <v>2319</v>
      </c>
    </row>
    <row r="206" spans="39:42" ht="12" customHeight="1" x14ac:dyDescent="0.25">
      <c r="AM206" t="s">
        <v>1050</v>
      </c>
      <c r="AN206" t="s">
        <v>1051</v>
      </c>
      <c r="AO206" t="s">
        <v>2320</v>
      </c>
      <c r="AP206" t="s">
        <v>2321</v>
      </c>
    </row>
    <row r="207" spans="39:42" ht="12" customHeight="1" x14ac:dyDescent="0.25">
      <c r="AM207" t="s">
        <v>1052</v>
      </c>
      <c r="AN207" t="s">
        <v>1053</v>
      </c>
      <c r="AO207" t="s">
        <v>2322</v>
      </c>
      <c r="AP207" t="s">
        <v>2323</v>
      </c>
    </row>
    <row r="208" spans="39:42" ht="12" customHeight="1" x14ac:dyDescent="0.25">
      <c r="AM208" t="s">
        <v>1054</v>
      </c>
      <c r="AN208" t="s">
        <v>1316</v>
      </c>
      <c r="AO208" t="s">
        <v>2324</v>
      </c>
      <c r="AP208" t="s">
        <v>2325</v>
      </c>
    </row>
    <row r="209" spans="39:42" ht="12" customHeight="1" x14ac:dyDescent="0.25">
      <c r="AM209" t="s">
        <v>1055</v>
      </c>
      <c r="AN209" t="s">
        <v>1056</v>
      </c>
      <c r="AO209" t="s">
        <v>275</v>
      </c>
      <c r="AP209" t="s">
        <v>2326</v>
      </c>
    </row>
    <row r="210" spans="39:42" ht="12" customHeight="1" x14ac:dyDescent="0.25">
      <c r="AM210" t="s">
        <v>1057</v>
      </c>
      <c r="AN210" t="s">
        <v>1317</v>
      </c>
      <c r="AO210" t="s">
        <v>2327</v>
      </c>
      <c r="AP210" t="s">
        <v>2328</v>
      </c>
    </row>
    <row r="211" spans="39:42" ht="12" customHeight="1" x14ac:dyDescent="0.25">
      <c r="AM211" t="s">
        <v>1058</v>
      </c>
      <c r="AN211" t="s">
        <v>1059</v>
      </c>
      <c r="AO211" t="s">
        <v>2329</v>
      </c>
      <c r="AP211" t="s">
        <v>2330</v>
      </c>
    </row>
    <row r="212" spans="39:42" ht="12" customHeight="1" x14ac:dyDescent="0.25">
      <c r="AM212" t="s">
        <v>1060</v>
      </c>
      <c r="AN212" t="s">
        <v>1061</v>
      </c>
      <c r="AO212" t="s">
        <v>2331</v>
      </c>
      <c r="AP212" t="s">
        <v>2332</v>
      </c>
    </row>
    <row r="213" spans="39:42" ht="12" customHeight="1" x14ac:dyDescent="0.25">
      <c r="AM213" t="s">
        <v>1062</v>
      </c>
      <c r="AN213" t="s">
        <v>1063</v>
      </c>
      <c r="AO213" t="s">
        <v>2333</v>
      </c>
      <c r="AP213" t="s">
        <v>2334</v>
      </c>
    </row>
    <row r="214" spans="39:42" ht="12" customHeight="1" x14ac:dyDescent="0.25">
      <c r="AM214" t="s">
        <v>1064</v>
      </c>
      <c r="AN214" t="s">
        <v>1065</v>
      </c>
      <c r="AO214" t="s">
        <v>2335</v>
      </c>
      <c r="AP214" t="s">
        <v>2336</v>
      </c>
    </row>
    <row r="215" spans="39:42" ht="12" customHeight="1" x14ac:dyDescent="0.25">
      <c r="AM215" t="s">
        <v>1066</v>
      </c>
      <c r="AN215" t="s">
        <v>1067</v>
      </c>
      <c r="AO215" t="s">
        <v>2337</v>
      </c>
      <c r="AP215" t="s">
        <v>2338</v>
      </c>
    </row>
    <row r="216" spans="39:42" ht="12" customHeight="1" x14ac:dyDescent="0.25">
      <c r="AM216" t="s">
        <v>1068</v>
      </c>
      <c r="AN216" t="s">
        <v>1433</v>
      </c>
      <c r="AO216" t="s">
        <v>291</v>
      </c>
      <c r="AP216" t="s">
        <v>2339</v>
      </c>
    </row>
    <row r="217" spans="39:42" ht="12" customHeight="1" x14ac:dyDescent="0.25">
      <c r="AM217" t="s">
        <v>1069</v>
      </c>
      <c r="AN217" t="s">
        <v>1070</v>
      </c>
      <c r="AO217" t="s">
        <v>2340</v>
      </c>
      <c r="AP217" t="s">
        <v>2341</v>
      </c>
    </row>
    <row r="218" spans="39:42" ht="12" customHeight="1" x14ac:dyDescent="0.25">
      <c r="AM218" t="s">
        <v>1071</v>
      </c>
      <c r="AN218" t="s">
        <v>1072</v>
      </c>
      <c r="AO218" t="s">
        <v>2342</v>
      </c>
      <c r="AP218" t="s">
        <v>2343</v>
      </c>
    </row>
    <row r="219" spans="39:42" ht="12" customHeight="1" x14ac:dyDescent="0.25">
      <c r="AM219" t="s">
        <v>1073</v>
      </c>
      <c r="AN219" t="s">
        <v>1318</v>
      </c>
      <c r="AO219" t="s">
        <v>281</v>
      </c>
      <c r="AP219" t="s">
        <v>2344</v>
      </c>
    </row>
    <row r="220" spans="39:42" ht="12" customHeight="1" x14ac:dyDescent="0.25">
      <c r="AM220" t="s">
        <v>1074</v>
      </c>
      <c r="AN220" t="s">
        <v>1075</v>
      </c>
      <c r="AO220" t="s">
        <v>285</v>
      </c>
      <c r="AP220" t="s">
        <v>2345</v>
      </c>
    </row>
    <row r="221" spans="39:42" ht="12" customHeight="1" x14ac:dyDescent="0.25">
      <c r="AM221" t="s">
        <v>1076</v>
      </c>
      <c r="AN221" t="s">
        <v>1319</v>
      </c>
      <c r="AO221" t="s">
        <v>304</v>
      </c>
      <c r="AP221" t="s">
        <v>2346</v>
      </c>
    </row>
    <row r="222" spans="39:42" ht="12" customHeight="1" x14ac:dyDescent="0.25">
      <c r="AM222" t="s">
        <v>1077</v>
      </c>
      <c r="AN222" t="s">
        <v>1078</v>
      </c>
      <c r="AO222" t="s">
        <v>2347</v>
      </c>
      <c r="AP222" t="s">
        <v>2348</v>
      </c>
    </row>
    <row r="223" spans="39:42" ht="12" customHeight="1" x14ac:dyDescent="0.25">
      <c r="AM223" t="s">
        <v>1079</v>
      </c>
      <c r="AN223" t="s">
        <v>1320</v>
      </c>
      <c r="AO223" t="s">
        <v>287</v>
      </c>
      <c r="AP223" t="s">
        <v>2349</v>
      </c>
    </row>
    <row r="224" spans="39:42" ht="12" customHeight="1" x14ac:dyDescent="0.25">
      <c r="AM224" t="s">
        <v>1080</v>
      </c>
      <c r="AN224" t="s">
        <v>1436</v>
      </c>
      <c r="AO224" t="s">
        <v>295</v>
      </c>
      <c r="AP224" t="s">
        <v>2350</v>
      </c>
    </row>
    <row r="225" spans="39:42" ht="12" customHeight="1" x14ac:dyDescent="0.25">
      <c r="AM225" t="s">
        <v>1081</v>
      </c>
      <c r="AN225" t="s">
        <v>1082</v>
      </c>
      <c r="AO225" t="s">
        <v>293</v>
      </c>
      <c r="AP225" t="s">
        <v>2351</v>
      </c>
    </row>
    <row r="226" spans="39:42" ht="12" customHeight="1" x14ac:dyDescent="0.25">
      <c r="AM226" t="s">
        <v>1083</v>
      </c>
      <c r="AN226" t="s">
        <v>1084</v>
      </c>
      <c r="AO226" t="s">
        <v>299</v>
      </c>
      <c r="AP226" t="s">
        <v>2352</v>
      </c>
    </row>
    <row r="227" spans="39:42" ht="12" customHeight="1" x14ac:dyDescent="0.25">
      <c r="AM227" t="s">
        <v>1085</v>
      </c>
      <c r="AN227" t="s">
        <v>1086</v>
      </c>
      <c r="AO227" t="s">
        <v>2353</v>
      </c>
      <c r="AP227" t="s">
        <v>2354</v>
      </c>
    </row>
    <row r="228" spans="39:42" ht="12" customHeight="1" x14ac:dyDescent="0.25">
      <c r="AM228" t="s">
        <v>1087</v>
      </c>
      <c r="AN228" t="s">
        <v>1088</v>
      </c>
      <c r="AO228" t="s">
        <v>2355</v>
      </c>
      <c r="AP228" t="s">
        <v>2356</v>
      </c>
    </row>
    <row r="229" spans="39:42" ht="12" customHeight="1" x14ac:dyDescent="0.25">
      <c r="AM229" t="s">
        <v>1089</v>
      </c>
      <c r="AN229" t="s">
        <v>1321</v>
      </c>
      <c r="AO229" t="s">
        <v>2357</v>
      </c>
      <c r="AP229" t="s">
        <v>2358</v>
      </c>
    </row>
    <row r="230" spans="39:42" ht="12" customHeight="1" x14ac:dyDescent="0.25">
      <c r="AM230" t="s">
        <v>1090</v>
      </c>
      <c r="AN230" t="s">
        <v>708</v>
      </c>
      <c r="AO230" t="s">
        <v>315</v>
      </c>
      <c r="AP230" t="s">
        <v>2359</v>
      </c>
    </row>
    <row r="231" spans="39:42" ht="12" customHeight="1" x14ac:dyDescent="0.25">
      <c r="AM231" t="s">
        <v>1091</v>
      </c>
      <c r="AN231" t="s">
        <v>1322</v>
      </c>
      <c r="AO231" t="s">
        <v>2360</v>
      </c>
      <c r="AP231" t="s">
        <v>2361</v>
      </c>
    </row>
    <row r="232" spans="39:42" ht="12" customHeight="1" x14ac:dyDescent="0.25">
      <c r="AM232" t="s">
        <v>1092</v>
      </c>
      <c r="AN232" t="s">
        <v>1093</v>
      </c>
      <c r="AO232" t="s">
        <v>2362</v>
      </c>
      <c r="AP232" t="s">
        <v>2363</v>
      </c>
    </row>
    <row r="233" spans="39:42" ht="12" customHeight="1" x14ac:dyDescent="0.25">
      <c r="AM233" t="s">
        <v>1094</v>
      </c>
      <c r="AN233" t="s">
        <v>1095</v>
      </c>
      <c r="AO233" t="s">
        <v>146</v>
      </c>
      <c r="AP233" t="s">
        <v>2364</v>
      </c>
    </row>
    <row r="234" spans="39:42" ht="12" customHeight="1" x14ac:dyDescent="0.25">
      <c r="AM234" t="s">
        <v>1096</v>
      </c>
      <c r="AN234" t="s">
        <v>1097</v>
      </c>
      <c r="AO234" t="s">
        <v>329</v>
      </c>
      <c r="AP234" t="s">
        <v>2365</v>
      </c>
    </row>
    <row r="235" spans="39:42" ht="12" customHeight="1" x14ac:dyDescent="0.25">
      <c r="AM235" t="s">
        <v>1098</v>
      </c>
      <c r="AN235" t="s">
        <v>709</v>
      </c>
      <c r="AO235" t="s">
        <v>2366</v>
      </c>
      <c r="AP235" t="s">
        <v>2367</v>
      </c>
    </row>
    <row r="236" spans="39:42" ht="12" customHeight="1" x14ac:dyDescent="0.25">
      <c r="AM236" t="s">
        <v>1099</v>
      </c>
      <c r="AN236" t="s">
        <v>1100</v>
      </c>
      <c r="AO236" t="s">
        <v>2368</v>
      </c>
      <c r="AP236" t="s">
        <v>2369</v>
      </c>
    </row>
    <row r="237" spans="39:42" ht="12" customHeight="1" x14ac:dyDescent="0.25">
      <c r="AM237" t="s">
        <v>1101</v>
      </c>
      <c r="AN237" t="s">
        <v>1323</v>
      </c>
      <c r="AO237" t="s">
        <v>2370</v>
      </c>
      <c r="AP237" t="s">
        <v>2371</v>
      </c>
    </row>
    <row r="238" spans="39:42" ht="12" customHeight="1" x14ac:dyDescent="0.25">
      <c r="AM238" t="s">
        <v>1102</v>
      </c>
      <c r="AN238" t="s">
        <v>1103</v>
      </c>
      <c r="AO238" t="s">
        <v>2372</v>
      </c>
      <c r="AP238" t="s">
        <v>2373</v>
      </c>
    </row>
    <row r="239" spans="39:42" ht="12" customHeight="1" x14ac:dyDescent="0.25">
      <c r="AM239" t="s">
        <v>1104</v>
      </c>
      <c r="AN239" t="s">
        <v>1105</v>
      </c>
      <c r="AO239" t="s">
        <v>2374</v>
      </c>
      <c r="AP239" t="s">
        <v>2375</v>
      </c>
    </row>
    <row r="240" spans="39:42" ht="12" customHeight="1" x14ac:dyDescent="0.25">
      <c r="AM240" t="s">
        <v>1106</v>
      </c>
      <c r="AN240" t="s">
        <v>1107</v>
      </c>
      <c r="AO240" t="s">
        <v>2376</v>
      </c>
      <c r="AP240" t="s">
        <v>2377</v>
      </c>
    </row>
    <row r="241" spans="39:42" ht="12" customHeight="1" x14ac:dyDescent="0.25">
      <c r="AM241" t="s">
        <v>1108</v>
      </c>
      <c r="AN241" t="s">
        <v>1109</v>
      </c>
      <c r="AO241" t="s">
        <v>335</v>
      </c>
      <c r="AP241" t="s">
        <v>2378</v>
      </c>
    </row>
    <row r="242" spans="39:42" ht="12" customHeight="1" x14ac:dyDescent="0.25">
      <c r="AM242" t="s">
        <v>1110</v>
      </c>
      <c r="AN242" t="s">
        <v>1324</v>
      </c>
      <c r="AO242" t="s">
        <v>337</v>
      </c>
      <c r="AP242" t="s">
        <v>2379</v>
      </c>
    </row>
    <row r="243" spans="39:42" ht="12" customHeight="1" x14ac:dyDescent="0.25">
      <c r="AM243" t="s">
        <v>1032</v>
      </c>
      <c r="AN243" t="s">
        <v>1434</v>
      </c>
      <c r="AO243" t="s">
        <v>321</v>
      </c>
      <c r="AP243" t="s">
        <v>2380</v>
      </c>
    </row>
    <row r="244" spans="39:42" ht="12" customHeight="1" x14ac:dyDescent="0.25">
      <c r="AM244" t="s">
        <v>1111</v>
      </c>
      <c r="AN244" t="s">
        <v>1325</v>
      </c>
      <c r="AO244" t="s">
        <v>2381</v>
      </c>
      <c r="AP244" t="s">
        <v>2382</v>
      </c>
    </row>
    <row r="245" spans="39:42" ht="12" customHeight="1" x14ac:dyDescent="0.25">
      <c r="AM245" t="s">
        <v>1112</v>
      </c>
      <c r="AN245" t="s">
        <v>1113</v>
      </c>
      <c r="AO245" t="s">
        <v>2383</v>
      </c>
      <c r="AP245" t="s">
        <v>2384</v>
      </c>
    </row>
    <row r="246" spans="39:42" ht="12" customHeight="1" x14ac:dyDescent="0.25">
      <c r="AM246" t="s">
        <v>1114</v>
      </c>
      <c r="AN246" t="s">
        <v>1115</v>
      </c>
      <c r="AO246" t="s">
        <v>323</v>
      </c>
      <c r="AP246" t="s">
        <v>2385</v>
      </c>
    </row>
    <row r="247" spans="39:42" ht="12" customHeight="1" x14ac:dyDescent="0.25">
      <c r="AM247" t="s">
        <v>1117</v>
      </c>
      <c r="AN247" t="s">
        <v>1118</v>
      </c>
      <c r="AO247" t="s">
        <v>333</v>
      </c>
      <c r="AP247" t="s">
        <v>2386</v>
      </c>
    </row>
    <row r="248" spans="39:42" ht="12" customHeight="1" x14ac:dyDescent="0.25">
      <c r="AM248" t="s">
        <v>1119</v>
      </c>
      <c r="AN248" t="s">
        <v>710</v>
      </c>
      <c r="AO248" t="s">
        <v>2387</v>
      </c>
      <c r="AP248" t="s">
        <v>2388</v>
      </c>
    </row>
    <row r="249" spans="39:42" ht="12" customHeight="1" x14ac:dyDescent="0.25">
      <c r="AM249" t="s">
        <v>1120</v>
      </c>
      <c r="AN249" t="s">
        <v>1326</v>
      </c>
      <c r="AO249" t="s">
        <v>2389</v>
      </c>
      <c r="AP249" t="s">
        <v>2390</v>
      </c>
    </row>
    <row r="250" spans="39:42" ht="12" customHeight="1" x14ac:dyDescent="0.25">
      <c r="AM250" t="s">
        <v>1121</v>
      </c>
      <c r="AN250" t="s">
        <v>1122</v>
      </c>
      <c r="AO250" t="s">
        <v>331</v>
      </c>
      <c r="AP250" t="s">
        <v>2391</v>
      </c>
    </row>
    <row r="251" spans="39:42" ht="12" customHeight="1" x14ac:dyDescent="0.25">
      <c r="AM251" t="s">
        <v>1123</v>
      </c>
      <c r="AN251" t="s">
        <v>717</v>
      </c>
      <c r="AO251" t="s">
        <v>2392</v>
      </c>
      <c r="AP251" t="s">
        <v>2393</v>
      </c>
    </row>
    <row r="252" spans="39:42" ht="12" customHeight="1" x14ac:dyDescent="0.25">
      <c r="AM252" t="s">
        <v>1124</v>
      </c>
      <c r="AN252" t="s">
        <v>1125</v>
      </c>
      <c r="AO252" t="s">
        <v>2394</v>
      </c>
      <c r="AP252" t="s">
        <v>2395</v>
      </c>
    </row>
    <row r="253" spans="39:42" ht="12" customHeight="1" x14ac:dyDescent="0.25">
      <c r="AM253" t="s">
        <v>1126</v>
      </c>
      <c r="AN253" t="s">
        <v>1327</v>
      </c>
      <c r="AO253" t="s">
        <v>2396</v>
      </c>
      <c r="AP253" t="s">
        <v>2397</v>
      </c>
    </row>
    <row r="254" spans="39:42" ht="12" customHeight="1" x14ac:dyDescent="0.25">
      <c r="AM254" t="s">
        <v>811</v>
      </c>
      <c r="AN254" t="s">
        <v>1328</v>
      </c>
      <c r="AO254" t="s">
        <v>2398</v>
      </c>
      <c r="AP254" t="s">
        <v>2399</v>
      </c>
    </row>
    <row r="255" spans="39:42" ht="12" customHeight="1" x14ac:dyDescent="0.25">
      <c r="AM255" t="s">
        <v>1381</v>
      </c>
      <c r="AN255" t="s">
        <v>1329</v>
      </c>
      <c r="AO255" t="s">
        <v>2400</v>
      </c>
      <c r="AP255" t="s">
        <v>2401</v>
      </c>
    </row>
    <row r="256" spans="39:42" ht="12" customHeight="1" x14ac:dyDescent="0.25">
      <c r="AM256" t="s">
        <v>1127</v>
      </c>
      <c r="AN256" t="s">
        <v>1128</v>
      </c>
      <c r="AO256" t="s">
        <v>2402</v>
      </c>
      <c r="AP256" t="s">
        <v>2403</v>
      </c>
    </row>
    <row r="257" spans="39:42" ht="12" customHeight="1" x14ac:dyDescent="0.25">
      <c r="AM257" t="s">
        <v>1129</v>
      </c>
      <c r="AN257" t="s">
        <v>1130</v>
      </c>
      <c r="AO257" t="s">
        <v>2404</v>
      </c>
      <c r="AP257" t="s">
        <v>2405</v>
      </c>
    </row>
    <row r="258" spans="39:42" ht="12" customHeight="1" x14ac:dyDescent="0.25">
      <c r="AM258" t="s">
        <v>1131</v>
      </c>
      <c r="AN258" t="s">
        <v>1330</v>
      </c>
      <c r="AO258" t="s">
        <v>2406</v>
      </c>
      <c r="AP258" t="s">
        <v>2407</v>
      </c>
    </row>
    <row r="259" spans="39:42" ht="12" customHeight="1" x14ac:dyDescent="0.25">
      <c r="AM259" t="s">
        <v>1132</v>
      </c>
      <c r="AN259" t="s">
        <v>1331</v>
      </c>
      <c r="AO259" t="s">
        <v>325</v>
      </c>
      <c r="AP259" t="s">
        <v>2408</v>
      </c>
    </row>
    <row r="260" spans="39:42" ht="12" customHeight="1" x14ac:dyDescent="0.25">
      <c r="AM260" t="s">
        <v>1133</v>
      </c>
      <c r="AN260" t="s">
        <v>1134</v>
      </c>
      <c r="AO260" t="s">
        <v>2409</v>
      </c>
      <c r="AP260" t="s">
        <v>2410</v>
      </c>
    </row>
    <row r="261" spans="39:42" ht="12" customHeight="1" x14ac:dyDescent="0.25">
      <c r="AM261" t="s">
        <v>1135</v>
      </c>
      <c r="AN261" t="s">
        <v>1136</v>
      </c>
      <c r="AO261" t="s">
        <v>2411</v>
      </c>
      <c r="AP261" t="s">
        <v>2412</v>
      </c>
    </row>
    <row r="262" spans="39:42" ht="12" customHeight="1" x14ac:dyDescent="0.25">
      <c r="AM262" t="s">
        <v>1137</v>
      </c>
      <c r="AN262" t="s">
        <v>1332</v>
      </c>
      <c r="AO262" t="s">
        <v>343</v>
      </c>
      <c r="AP262" t="s">
        <v>2413</v>
      </c>
    </row>
    <row r="263" spans="39:42" ht="12" customHeight="1" x14ac:dyDescent="0.25">
      <c r="AM263" t="s">
        <v>1116</v>
      </c>
      <c r="AN263" t="s">
        <v>1333</v>
      </c>
      <c r="AO263" t="s">
        <v>327</v>
      </c>
      <c r="AP263" t="s">
        <v>2414</v>
      </c>
    </row>
    <row r="264" spans="39:42" ht="12" customHeight="1" x14ac:dyDescent="0.25">
      <c r="AM264" t="s">
        <v>1138</v>
      </c>
      <c r="AN264" t="s">
        <v>1139</v>
      </c>
      <c r="AO264" t="s">
        <v>184</v>
      </c>
      <c r="AP264" t="s">
        <v>2415</v>
      </c>
    </row>
    <row r="265" spans="39:42" ht="12" customHeight="1" x14ac:dyDescent="0.25">
      <c r="AM265" t="s">
        <v>1141</v>
      </c>
      <c r="AN265" t="s">
        <v>1142</v>
      </c>
      <c r="AO265" t="s">
        <v>2416</v>
      </c>
      <c r="AP265" t="s">
        <v>2417</v>
      </c>
    </row>
    <row r="266" spans="39:42" ht="12" customHeight="1" x14ac:dyDescent="0.25">
      <c r="AM266" t="s">
        <v>1018</v>
      </c>
      <c r="AN266" t="s">
        <v>1933</v>
      </c>
      <c r="AO266" t="s">
        <v>2418</v>
      </c>
      <c r="AP266" t="s">
        <v>2419</v>
      </c>
    </row>
    <row r="267" spans="39:42" ht="12" customHeight="1" x14ac:dyDescent="0.25">
      <c r="AM267" t="s">
        <v>1143</v>
      </c>
      <c r="AN267" t="s">
        <v>1334</v>
      </c>
      <c r="AO267" t="s">
        <v>2420</v>
      </c>
      <c r="AP267" t="s">
        <v>2421</v>
      </c>
    </row>
    <row r="268" spans="39:42" ht="12" customHeight="1" x14ac:dyDescent="0.25">
      <c r="AM268" t="s">
        <v>1144</v>
      </c>
      <c r="AN268" t="s">
        <v>1335</v>
      </c>
      <c r="AO268" t="s">
        <v>366</v>
      </c>
      <c r="AP268" t="s">
        <v>2422</v>
      </c>
    </row>
    <row r="269" spans="39:42" ht="12" customHeight="1" x14ac:dyDescent="0.25">
      <c r="AM269" t="s">
        <v>1146</v>
      </c>
      <c r="AN269" t="s">
        <v>1336</v>
      </c>
      <c r="AO269" t="s">
        <v>2423</v>
      </c>
      <c r="AP269" t="s">
        <v>2424</v>
      </c>
    </row>
    <row r="270" spans="39:42" ht="12" customHeight="1" x14ac:dyDescent="0.25">
      <c r="AM270" t="s">
        <v>1147</v>
      </c>
      <c r="AN270" t="s">
        <v>1337</v>
      </c>
      <c r="AO270" t="s">
        <v>2425</v>
      </c>
      <c r="AP270" t="s">
        <v>2426</v>
      </c>
    </row>
    <row r="271" spans="39:42" ht="12" customHeight="1" x14ac:dyDescent="0.25">
      <c r="AM271" t="s">
        <v>1148</v>
      </c>
      <c r="AN271" t="s">
        <v>1149</v>
      </c>
      <c r="AO271" t="s">
        <v>2427</v>
      </c>
      <c r="AP271" t="s">
        <v>2428</v>
      </c>
    </row>
    <row r="272" spans="39:42" ht="12" customHeight="1" x14ac:dyDescent="0.25">
      <c r="AM272" t="s">
        <v>1150</v>
      </c>
      <c r="AN272" t="s">
        <v>1338</v>
      </c>
      <c r="AO272" t="s">
        <v>352</v>
      </c>
      <c r="AP272" t="s">
        <v>2429</v>
      </c>
    </row>
    <row r="273" spans="39:42" ht="12" customHeight="1" x14ac:dyDescent="0.25">
      <c r="AM273" t="s">
        <v>1151</v>
      </c>
      <c r="AN273" t="s">
        <v>1339</v>
      </c>
      <c r="AO273" t="s">
        <v>356</v>
      </c>
      <c r="AP273" t="s">
        <v>2430</v>
      </c>
    </row>
    <row r="274" spans="39:42" ht="12" customHeight="1" x14ac:dyDescent="0.25">
      <c r="AM274" t="s">
        <v>1152</v>
      </c>
      <c r="AN274" t="s">
        <v>1153</v>
      </c>
      <c r="AO274" t="s">
        <v>2431</v>
      </c>
      <c r="AP274" t="s">
        <v>2432</v>
      </c>
    </row>
    <row r="275" spans="39:42" ht="12" customHeight="1" x14ac:dyDescent="0.25">
      <c r="AM275" t="s">
        <v>1154</v>
      </c>
      <c r="AN275" t="s">
        <v>1155</v>
      </c>
      <c r="AO275" t="s">
        <v>354</v>
      </c>
      <c r="AP275" t="s">
        <v>2433</v>
      </c>
    </row>
    <row r="276" spans="39:42" ht="12" customHeight="1" x14ac:dyDescent="0.25">
      <c r="AM276" t="s">
        <v>1156</v>
      </c>
      <c r="AN276" t="s">
        <v>1157</v>
      </c>
      <c r="AO276" t="s">
        <v>358</v>
      </c>
      <c r="AP276" t="s">
        <v>2434</v>
      </c>
    </row>
    <row r="277" spans="39:42" ht="12" customHeight="1" x14ac:dyDescent="0.25">
      <c r="AM277" t="s">
        <v>1158</v>
      </c>
      <c r="AN277" t="s">
        <v>1159</v>
      </c>
      <c r="AO277" t="s">
        <v>2435</v>
      </c>
      <c r="AP277" t="s">
        <v>2436</v>
      </c>
    </row>
    <row r="278" spans="39:42" ht="12" customHeight="1" x14ac:dyDescent="0.25">
      <c r="AM278" t="s">
        <v>1160</v>
      </c>
      <c r="AN278" t="s">
        <v>1161</v>
      </c>
      <c r="AO278" t="s">
        <v>347</v>
      </c>
      <c r="AP278" t="s">
        <v>2437</v>
      </c>
    </row>
    <row r="279" spans="39:42" ht="12" customHeight="1" x14ac:dyDescent="0.25">
      <c r="AM279" t="s">
        <v>1162</v>
      </c>
      <c r="AN279" t="s">
        <v>1340</v>
      </c>
      <c r="AO279" t="s">
        <v>2438</v>
      </c>
      <c r="AP279" t="s">
        <v>2439</v>
      </c>
    </row>
    <row r="280" spans="39:42" ht="12" customHeight="1" x14ac:dyDescent="0.25">
      <c r="AM280" t="s">
        <v>1163</v>
      </c>
      <c r="AN280" t="s">
        <v>1164</v>
      </c>
      <c r="AO280" t="s">
        <v>2440</v>
      </c>
      <c r="AP280" t="s">
        <v>2441</v>
      </c>
    </row>
    <row r="281" spans="39:42" ht="12" customHeight="1" x14ac:dyDescent="0.25">
      <c r="AM281" t="s">
        <v>1165</v>
      </c>
      <c r="AN281" t="s">
        <v>1166</v>
      </c>
      <c r="AO281" t="s">
        <v>2442</v>
      </c>
      <c r="AP281" t="s">
        <v>2443</v>
      </c>
    </row>
    <row r="282" spans="39:42" ht="12" customHeight="1" x14ac:dyDescent="0.25">
      <c r="AM282" t="s">
        <v>1167</v>
      </c>
      <c r="AN282" t="s">
        <v>1168</v>
      </c>
      <c r="AO282" t="s">
        <v>117</v>
      </c>
      <c r="AP282" t="s">
        <v>2444</v>
      </c>
    </row>
    <row r="283" spans="39:42" ht="12" customHeight="1" x14ac:dyDescent="0.25">
      <c r="AM283" t="s">
        <v>1169</v>
      </c>
      <c r="AN283" t="s">
        <v>711</v>
      </c>
      <c r="AO283" t="s">
        <v>236</v>
      </c>
      <c r="AP283" t="s">
        <v>2445</v>
      </c>
    </row>
    <row r="284" spans="39:42" ht="12" customHeight="1" x14ac:dyDescent="0.25">
      <c r="AM284" t="s">
        <v>1170</v>
      </c>
      <c r="AN284" t="s">
        <v>1171</v>
      </c>
      <c r="AO284" t="s">
        <v>2446</v>
      </c>
      <c r="AP284" t="s">
        <v>2447</v>
      </c>
    </row>
    <row r="285" spans="39:42" ht="12" customHeight="1" x14ac:dyDescent="0.25">
      <c r="AM285" t="s">
        <v>1140</v>
      </c>
      <c r="AN285" t="s">
        <v>1341</v>
      </c>
      <c r="AO285" t="s">
        <v>2448</v>
      </c>
      <c r="AP285" t="s">
        <v>2449</v>
      </c>
    </row>
    <row r="286" spans="39:42" ht="12" customHeight="1" x14ac:dyDescent="0.25">
      <c r="AM286" t="s">
        <v>1172</v>
      </c>
      <c r="AN286" t="s">
        <v>1173</v>
      </c>
      <c r="AO286" t="s">
        <v>2450</v>
      </c>
      <c r="AP286" t="s">
        <v>2451</v>
      </c>
    </row>
    <row r="287" spans="39:42" ht="12" customHeight="1" x14ac:dyDescent="0.25">
      <c r="AM287" t="s">
        <v>1174</v>
      </c>
      <c r="AN287" t="s">
        <v>1175</v>
      </c>
      <c r="AO287" t="s">
        <v>2452</v>
      </c>
      <c r="AP287" t="s">
        <v>2453</v>
      </c>
    </row>
    <row r="288" spans="39:42" ht="12" customHeight="1" x14ac:dyDescent="0.25">
      <c r="AM288" t="s">
        <v>1176</v>
      </c>
      <c r="AN288" t="s">
        <v>1342</v>
      </c>
      <c r="AO288" t="s">
        <v>2454</v>
      </c>
      <c r="AP288" t="s">
        <v>2455</v>
      </c>
    </row>
    <row r="289" spans="39:42" ht="12" customHeight="1" x14ac:dyDescent="0.25">
      <c r="AM289" t="s">
        <v>1177</v>
      </c>
      <c r="AN289" t="s">
        <v>1343</v>
      </c>
      <c r="AO289" t="s">
        <v>2456</v>
      </c>
      <c r="AP289" t="s">
        <v>2457</v>
      </c>
    </row>
    <row r="290" spans="39:42" ht="12" customHeight="1" x14ac:dyDescent="0.25">
      <c r="AM290" t="s">
        <v>1178</v>
      </c>
      <c r="AN290" t="s">
        <v>1179</v>
      </c>
      <c r="AO290" t="s">
        <v>2458</v>
      </c>
      <c r="AP290" t="s">
        <v>2459</v>
      </c>
    </row>
    <row r="291" spans="39:42" ht="12" customHeight="1" x14ac:dyDescent="0.25">
      <c r="AM291" t="s">
        <v>1180</v>
      </c>
      <c r="AN291" t="s">
        <v>1181</v>
      </c>
      <c r="AO291" t="s">
        <v>370</v>
      </c>
      <c r="AP291" t="s">
        <v>2460</v>
      </c>
    </row>
    <row r="292" spans="39:42" ht="12" customHeight="1" x14ac:dyDescent="0.25">
      <c r="AM292" t="s">
        <v>1182</v>
      </c>
      <c r="AN292" t="s">
        <v>1183</v>
      </c>
      <c r="AO292" t="s">
        <v>372</v>
      </c>
      <c r="AP292" t="s">
        <v>2461</v>
      </c>
    </row>
    <row r="293" spans="39:42" ht="12" customHeight="1" x14ac:dyDescent="0.25">
      <c r="AM293" t="s">
        <v>1184</v>
      </c>
      <c r="AN293" t="s">
        <v>1344</v>
      </c>
      <c r="AO293" t="s">
        <v>2462</v>
      </c>
      <c r="AP293" t="s">
        <v>2463</v>
      </c>
    </row>
    <row r="294" spans="39:42" ht="12" customHeight="1" x14ac:dyDescent="0.25">
      <c r="AM294" t="s">
        <v>1185</v>
      </c>
      <c r="AN294" t="s">
        <v>1345</v>
      </c>
      <c r="AO294" t="s">
        <v>2464</v>
      </c>
      <c r="AP294" t="s">
        <v>2465</v>
      </c>
    </row>
    <row r="295" spans="39:42" ht="12" customHeight="1" x14ac:dyDescent="0.25">
      <c r="AM295" t="s">
        <v>1186</v>
      </c>
      <c r="AN295" t="s">
        <v>1346</v>
      </c>
      <c r="AO295" t="s">
        <v>2466</v>
      </c>
      <c r="AP295" t="s">
        <v>2467</v>
      </c>
    </row>
    <row r="296" spans="39:42" ht="12" customHeight="1" x14ac:dyDescent="0.25">
      <c r="AM296" t="s">
        <v>1187</v>
      </c>
      <c r="AN296" t="s">
        <v>1188</v>
      </c>
      <c r="AO296" t="s">
        <v>2468</v>
      </c>
      <c r="AP296" t="s">
        <v>2469</v>
      </c>
    </row>
    <row r="297" spans="39:42" ht="12" customHeight="1" x14ac:dyDescent="0.25">
      <c r="AM297" t="s">
        <v>1189</v>
      </c>
      <c r="AN297" t="s">
        <v>1190</v>
      </c>
      <c r="AO297" t="s">
        <v>2470</v>
      </c>
      <c r="AP297" t="s">
        <v>2471</v>
      </c>
    </row>
    <row r="298" spans="39:42" ht="12" customHeight="1" x14ac:dyDescent="0.25">
      <c r="AM298" t="s">
        <v>1191</v>
      </c>
      <c r="AN298" t="s">
        <v>1192</v>
      </c>
    </row>
    <row r="299" spans="39:42" ht="12" customHeight="1" x14ac:dyDescent="0.25">
      <c r="AM299" t="s">
        <v>1193</v>
      </c>
      <c r="AN299" t="s">
        <v>1347</v>
      </c>
    </row>
    <row r="300" spans="39:42" ht="12" customHeight="1" x14ac:dyDescent="0.25">
      <c r="AM300" t="s">
        <v>1194</v>
      </c>
      <c r="AN300" t="s">
        <v>1348</v>
      </c>
    </row>
    <row r="301" spans="39:42" ht="12" customHeight="1" x14ac:dyDescent="0.25">
      <c r="AM301" t="s">
        <v>1195</v>
      </c>
      <c r="AN301" t="s">
        <v>1196</v>
      </c>
    </row>
    <row r="302" spans="39:42" ht="12" customHeight="1" x14ac:dyDescent="0.25">
      <c r="AM302" t="s">
        <v>1197</v>
      </c>
      <c r="AN302" t="s">
        <v>1198</v>
      </c>
    </row>
    <row r="303" spans="39:42" ht="12" customHeight="1" x14ac:dyDescent="0.25">
      <c r="AM303" t="s">
        <v>1199</v>
      </c>
      <c r="AN303" t="s">
        <v>1200</v>
      </c>
    </row>
    <row r="304" spans="39:42" ht="12" customHeight="1" x14ac:dyDescent="0.25">
      <c r="AM304" t="s">
        <v>1201</v>
      </c>
      <c r="AN304" t="s">
        <v>1382</v>
      </c>
    </row>
    <row r="305" spans="39:40" ht="12" customHeight="1" x14ac:dyDescent="0.25">
      <c r="AM305" t="s">
        <v>1202</v>
      </c>
      <c r="AN305" t="s">
        <v>1203</v>
      </c>
    </row>
    <row r="306" spans="39:40" ht="12" customHeight="1" x14ac:dyDescent="0.25">
      <c r="AM306" t="s">
        <v>1204</v>
      </c>
      <c r="AN306" t="s">
        <v>1349</v>
      </c>
    </row>
    <row r="307" spans="39:40" ht="12" customHeight="1" x14ac:dyDescent="0.25">
      <c r="AM307" t="s">
        <v>1205</v>
      </c>
      <c r="AN307" t="s">
        <v>1206</v>
      </c>
    </row>
    <row r="308" spans="39:40" ht="12" customHeight="1" x14ac:dyDescent="0.25">
      <c r="AM308" t="s">
        <v>1207</v>
      </c>
      <c r="AN308" t="s">
        <v>1208</v>
      </c>
    </row>
    <row r="309" spans="39:40" ht="12" customHeight="1" x14ac:dyDescent="0.25">
      <c r="AM309" t="s">
        <v>1210</v>
      </c>
      <c r="AN309" t="s">
        <v>1211</v>
      </c>
    </row>
    <row r="310" spans="39:40" ht="12" customHeight="1" x14ac:dyDescent="0.25">
      <c r="AM310" t="s">
        <v>1212</v>
      </c>
      <c r="AN310" t="s">
        <v>1213</v>
      </c>
    </row>
    <row r="311" spans="39:40" ht="12" customHeight="1" x14ac:dyDescent="0.25">
      <c r="AM311" t="s">
        <v>1214</v>
      </c>
      <c r="AN311" t="s">
        <v>1215</v>
      </c>
    </row>
    <row r="312" spans="39:40" ht="12" customHeight="1" x14ac:dyDescent="0.25">
      <c r="AM312" t="s">
        <v>1216</v>
      </c>
      <c r="AN312" t="s">
        <v>1350</v>
      </c>
    </row>
    <row r="313" spans="39:40" ht="12" customHeight="1" x14ac:dyDescent="0.25">
      <c r="AM313" t="s">
        <v>1217</v>
      </c>
      <c r="AN313" t="s">
        <v>1218</v>
      </c>
    </row>
    <row r="314" spans="39:40" ht="12" customHeight="1" x14ac:dyDescent="0.25">
      <c r="AM314" t="s">
        <v>1219</v>
      </c>
      <c r="AN314" t="s">
        <v>1351</v>
      </c>
    </row>
    <row r="315" spans="39:40" ht="12" customHeight="1" x14ac:dyDescent="0.25">
      <c r="AM315" t="s">
        <v>1220</v>
      </c>
      <c r="AN315" t="s">
        <v>1352</v>
      </c>
    </row>
    <row r="316" spans="39:40" ht="12" customHeight="1" x14ac:dyDescent="0.25">
      <c r="AM316" t="s">
        <v>1221</v>
      </c>
      <c r="AN316" t="s">
        <v>1353</v>
      </c>
    </row>
    <row r="317" spans="39:40" ht="12" customHeight="1" x14ac:dyDescent="0.25">
      <c r="AM317" t="s">
        <v>1222</v>
      </c>
      <c r="AN317" t="s">
        <v>1354</v>
      </c>
    </row>
    <row r="318" spans="39:40" ht="12" customHeight="1" x14ac:dyDescent="0.25">
      <c r="AM318" t="s">
        <v>1223</v>
      </c>
      <c r="AN318" t="s">
        <v>1224</v>
      </c>
    </row>
    <row r="319" spans="39:40" ht="12" customHeight="1" x14ac:dyDescent="0.25">
      <c r="AM319" t="s">
        <v>1225</v>
      </c>
      <c r="AN319" t="s">
        <v>1226</v>
      </c>
    </row>
    <row r="320" spans="39:40" ht="12" customHeight="1" x14ac:dyDescent="0.25">
      <c r="AM320" t="s">
        <v>1227</v>
      </c>
      <c r="AN320" t="s">
        <v>1228</v>
      </c>
    </row>
    <row r="321" spans="39:40" ht="12" customHeight="1" x14ac:dyDescent="0.25">
      <c r="AM321" t="s">
        <v>1229</v>
      </c>
      <c r="AN321" t="s">
        <v>1355</v>
      </c>
    </row>
    <row r="322" spans="39:40" ht="12" customHeight="1" x14ac:dyDescent="0.25">
      <c r="AM322" t="s">
        <v>1230</v>
      </c>
      <c r="AN322" t="s">
        <v>714</v>
      </c>
    </row>
    <row r="323" spans="39:40" ht="12" customHeight="1" x14ac:dyDescent="0.25">
      <c r="AM323" t="s">
        <v>1231</v>
      </c>
      <c r="AN323" t="s">
        <v>715</v>
      </c>
    </row>
    <row r="324" spans="39:40" ht="12" customHeight="1" x14ac:dyDescent="0.25">
      <c r="AM324" t="s">
        <v>1232</v>
      </c>
      <c r="AN324" t="s">
        <v>1233</v>
      </c>
    </row>
    <row r="325" spans="39:40" ht="12" customHeight="1" x14ac:dyDescent="0.25">
      <c r="AM325" t="s">
        <v>1234</v>
      </c>
      <c r="AN325" t="s">
        <v>1235</v>
      </c>
    </row>
    <row r="326" spans="39:40" ht="12" customHeight="1" x14ac:dyDescent="0.25">
      <c r="AM326" t="s">
        <v>1236</v>
      </c>
      <c r="AN326" t="s">
        <v>1237</v>
      </c>
    </row>
    <row r="327" spans="39:40" ht="12" customHeight="1" x14ac:dyDescent="0.25">
      <c r="AM327" t="s">
        <v>1238</v>
      </c>
      <c r="AN327" t="s">
        <v>1239</v>
      </c>
    </row>
    <row r="328" spans="39:40" ht="12" customHeight="1" x14ac:dyDescent="0.25">
      <c r="AM328" t="s">
        <v>1240</v>
      </c>
      <c r="AN328" t="s">
        <v>1241</v>
      </c>
    </row>
    <row r="329" spans="39:40" ht="12" customHeight="1" x14ac:dyDescent="0.25">
      <c r="AM329" t="s">
        <v>1242</v>
      </c>
      <c r="AN329" t="s">
        <v>1356</v>
      </c>
    </row>
    <row r="330" spans="39:40" ht="12" customHeight="1" x14ac:dyDescent="0.25">
      <c r="AM330" t="s">
        <v>1243</v>
      </c>
      <c r="AN330" t="s">
        <v>1244</v>
      </c>
    </row>
  </sheetData>
  <sheetProtection password="A656" sheet="1" objects="1" scenarios="1"/>
  <sortState xmlns:xlrd2="http://schemas.microsoft.com/office/spreadsheetml/2017/richdata2" ref="AM2:AN330">
    <sortCondition ref="AN2:AN330"/>
  </sortState>
  <dataValidations disablePrompts="1" count="1">
    <dataValidation type="list" allowBlank="1" showInputMessage="1" showErrorMessage="1" sqref="Y26" xr:uid="{00000000-0002-0000-0A00-000000000000}">
      <formula1>waste_types</formula1>
    </dataValidation>
  </dataValidations>
  <pageMargins left="0.7" right="0.7" top="0.75" bottom="0.75" header="0.3" footer="0.3"/>
  <pageSetup paperSize="9" orientation="portrait" r:id="rId1"/>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V1545"/>
  <sheetViews>
    <sheetView zoomScale="85" zoomScaleNormal="85" workbookViewId="0">
      <selection activeCell="G34" sqref="G34"/>
    </sheetView>
  </sheetViews>
  <sheetFormatPr defaultRowHeight="12.5" x14ac:dyDescent="0.25"/>
  <cols>
    <col min="1" max="1" width="11.54296875" customWidth="1"/>
    <col min="2" max="2" width="38.54296875" customWidth="1"/>
    <col min="3" max="3" width="2.7265625" customWidth="1"/>
    <col min="4" max="4" width="15.26953125" customWidth="1"/>
    <col min="5" max="5" width="45.453125" customWidth="1"/>
    <col min="6" max="6" width="3.453125" customWidth="1"/>
    <col min="7" max="7" width="24.1796875" customWidth="1"/>
    <col min="8" max="8" width="22.81640625" customWidth="1"/>
    <col min="9" max="9" width="3.453125" customWidth="1"/>
    <col min="10" max="10" width="15.1796875" customWidth="1"/>
    <col min="11" max="11" width="36.54296875" customWidth="1"/>
    <col min="12" max="12" width="3" customWidth="1"/>
    <col min="15" max="15" width="3" customWidth="1"/>
    <col min="16" max="16" width="10.26953125" bestFit="1" customWidth="1"/>
    <col min="17" max="17" width="10.81640625" customWidth="1"/>
  </cols>
  <sheetData>
    <row r="1" spans="1:22" x14ac:dyDescent="0.25">
      <c r="A1" t="s">
        <v>73</v>
      </c>
      <c r="B1" t="str">
        <f>VLOOKUP(FALSE,A5:B98,2, 0)</f>
        <v xml:space="preserve">‘Current security level’ is required </v>
      </c>
      <c r="C1" t="s">
        <v>1391</v>
      </c>
      <c r="D1" t="s">
        <v>72</v>
      </c>
      <c r="E1" t="str">
        <f>VLOOKUP(FALSE,D5:E130,2, 0)</f>
        <v>‘Waste delivery status’ is required</v>
      </c>
      <c r="F1" t="s">
        <v>1391</v>
      </c>
      <c r="G1" t="s">
        <v>1453</v>
      </c>
      <c r="H1" t="str">
        <f>VLOOKUP(FALSE,G5:H1547,2, 0)</f>
        <v>‘Hazmat on board‘ is required</v>
      </c>
      <c r="I1" t="s">
        <v>1391</v>
      </c>
      <c r="J1" t="s">
        <v>1454</v>
      </c>
      <c r="K1" t="str">
        <f>VLOOKUP(FALSE,J5:K1545,2, 0)</f>
        <v>‘Hazmat on board‘ is required</v>
      </c>
      <c r="L1" t="s">
        <v>1391</v>
      </c>
      <c r="M1" t="s">
        <v>1415</v>
      </c>
      <c r="N1" t="str">
        <f>VLOOKUP(FALSE,M5:N17,2, 0)</f>
        <v>At least two of ‘IMO number’, ‘Ship name’, ‘Call sign’ and ‘MMSI number’ must be given</v>
      </c>
      <c r="P1" t="s">
        <v>7</v>
      </c>
      <c r="Q1" t="str">
        <f>VLOOKUP(FALSE,P5:Q24,2, 0)</f>
        <v>‘Port of call’ required</v>
      </c>
      <c r="T1" t="s">
        <v>1602</v>
      </c>
      <c r="U1" t="s">
        <v>1852</v>
      </c>
      <c r="V1" t="s">
        <v>1853</v>
      </c>
    </row>
    <row r="2" spans="1:22" x14ac:dyDescent="0.25">
      <c r="A2" t="str">
        <f>IF(SEC_EMPTY_RES=TRUE,"Empty",IF(SEC_VALID=TRUE,"Valid","Invalid"))</f>
        <v>Empty</v>
      </c>
      <c r="B2" t="s">
        <v>1915</v>
      </c>
      <c r="C2" t="s">
        <v>1391</v>
      </c>
      <c r="D2" t="str">
        <f>IF(WAS_EMPTY_RES=TRUE,"Empty",IF(WAS_VALID=TRUE,"Valid","Invalid"))</f>
        <v>Empty</v>
      </c>
      <c r="E2" t="s">
        <v>1915</v>
      </c>
      <c r="F2" t="s">
        <v>1391</v>
      </c>
      <c r="G2" t="str">
        <f>IF(IHZ_EMPTY_RES=TRUE,"Empty",IF(IHZ_VALID=TRUE,"Valid","Invalid"))</f>
        <v>Empty</v>
      </c>
      <c r="H2" t="s">
        <v>1915</v>
      </c>
      <c r="I2" t="s">
        <v>1391</v>
      </c>
      <c r="J2" t="str">
        <f>IF(OHZ_EMPTY_RES=TRUE,"Empty",IF(OHZ_VALID=TRUE,"Valid","Invalid"))</f>
        <v>Empty</v>
      </c>
      <c r="K2" t="s">
        <v>1915</v>
      </c>
      <c r="L2" t="s">
        <v>1391</v>
      </c>
      <c r="M2" t="str">
        <f>IF(VES_EMPTY_RES=TRUE,"Empty",IF(VES_VALID=TRUE,"Valid","Invalid"))</f>
        <v>Empty</v>
      </c>
      <c r="N2" t="s">
        <v>1915</v>
      </c>
      <c r="P2" t="str">
        <f>IF(VOY_EMPTY_RES=TRUE,"Empty",IF(VOY_VALID=TRUE,"Valid","Invalid"))</f>
        <v>Empty</v>
      </c>
      <c r="Q2" t="s">
        <v>1915</v>
      </c>
      <c r="T2" t="s">
        <v>1603</v>
      </c>
      <c r="V2" t="s">
        <v>1854</v>
      </c>
    </row>
    <row r="3" spans="1:22" x14ac:dyDescent="0.25">
      <c r="A3" t="b">
        <f>AND(INDEX(SEC_AVD_LASTUKVISIT,1,1)="",INDEX(SEC_AVD_REPSHIPLOC,1,1)="",INDEX(SEC_CSO_FIRSTNAME,1,1)="",INDEX(SEC_CSO_LASTNAME,1,1)="",INDEX(SEC_CSO_PHONE,1,1)="",INDEX(SEC_CSO_FAX,1,1)="",INDEX(SEC_CSO_EMAIL,1,1)="",INDEX(SEC_AGENT_NAME,1,1)="",INDEX(SEC_AGENT_PHONE,1,1)="",INDEX(SEC_AGENT_FAX,1,1)="",INDEX(SEC_AGENT_EMAIL,1,1)="",INDEX(SEC_ISSC_TYPE,1,1)="",INDEX(SEC_ISSC_NUMBER,1,1)="",INDEX(SEC_ISSC_ISSUERTYPE,1,1)="",INDEX(SEC_ISSC_ISSUER,1,1)="",INDEX(SEC_ISSC_EXPIRY,1,1)="",INDEX(SEC_ISSC_ISVALID,1,1)="",INDEX(SEC_ISSC_REASON,1,1)="",INDEX(SEC_CURRENTSEC,1,1)="",INDEX(SEC_SECURITYPL,1,1)="",INDEX(SEC_PAS_PASSENGERS,1,1)="",INDEX(SEC_PAS_CREWLIST,1,1)="",INDEX(SEC_RSM_RSM,1,1)="",INDEX(SEC_RSM_DESC,1,1)="",INDEX(SEC_PURPOSE,1,1)="",INDEX(SEC_LAST_DATEOFARRI,1,1)="",INDEX(SEC_LAST_DATEOFDEPT,1,1)="",INDEX(SEC_LAST_COUNTRY,1,1)="",INDEX(SEC_LAST_FACNAME,1,1)="",INDEX(SEC_LAST_PORT,1,1)="",INDEX(SEC_LAST_PORTFAC,1,1)="",INDEX(SEC_LAST_SECLEVEL,1,1)="",INDEX(SEC_LAST_SECMEASURE,1,1)="",INDEX(SEC_SHIP_DATEFROM,1,1)="",INDEX(SEC_SHIP_DATETO,1,1)="",INDEX(SEC_SHIP_LATITUDE,1,1)="",INDEX(SEC_SHIP_LONGITUDE,1,1)="",INDEX(SEC_SHIP_LOCATION,1,1)="",INDEX(SEC_SHIP_ACTIVITY,1,1)="",INDEX(SEC_SHIP_SECURITYME,1,1)="")</f>
        <v>1</v>
      </c>
      <c r="B3" t="s">
        <v>1914</v>
      </c>
      <c r="C3" t="s">
        <v>1391</v>
      </c>
      <c r="D3" t="b">
        <f>AND(INDEX(WAS_LOC_LOCODE,1,1)="",INDEX(WAS_LOC_LOCNAME,1,1)="",INDEX(WAS_OVE_LASTPORT,1,1)="",INDEX(WAS_OVE_LASTDATE,1,1)="",INDEX(WAS_OVE_STATUS,1,1)="")</f>
        <v>1</v>
      </c>
      <c r="E3" t="s">
        <v>1914</v>
      </c>
      <c r="F3" t="s">
        <v>1391</v>
      </c>
      <c r="G3" t="b">
        <f>AND(INDEX(IHZ_DET_HAZONBOARD,1,1)="",INDEX(IHZ_DET_INFSHIPCLA,1,1)="",INDEX(IHZ_CON_FIRSTNAME,1,1)="",INDEX(IHZ_CON_LASTNAME,1,1)="",INDEX(IHZ_CON_LOCODE,1,1)="",INDEX(IHZ_CON_PHONE,1,1)="",INDEX(IHZ_CON_FAX,1,1)="",INDEX(IHZ_CON_EMAIL,1,1)="",INDEX(IHZ_DET_URL,1,1)="",INDEX(IHZ_DET_DOCTYPE,1,1)="",INDEX(IHZ_HAZ_CONSIGNMENT,1,1)="",INDEX(IHZ_HAZ_TRANSDOCID,1,1)="",INDEX(IHZ_HAZ_PORTOFLOADING,1,1)="",INDEX(IHZ_HAZ_PORTOFDISCHARGE,1,1)="",INDEX(IHZ_HAZ_DPGREF,1,1)="",INDEX(IHZ_HAZ_DGCLASSIFI,1,1)="",INDEX(IHZ_HAZ_TEXTUALREF,1,1)="",INDEX(IHZ_HAZ_IMOHAZARDC,1,1)="",INDEX(IHZ_HAZ_UNNUMBER,1,1)="",INDEX(IHZ_HAZ_TOTAMOUNT,1,1)="",INDEX(IHZ_HAZ_PACKINGGRO,1,1)="",INDEX(IHZ_HAZ_FLASHPOINT,1,1)="",INDEX(IHZ_HAZ_MARPOLCODE,1,1)="",INDEX(IHZ_HAZ_PACTYPE,1,1)="",INDEX(IHZ_HAZ_TOTALPACKA,1,1)="",INDEX(IHZ_HAZ_ADDITIONAL,1,1)="",INDEX(IHZ_HAZ_EMS,1,1)="",INDEX(IHZ_HAZ_SUBSIDIARY,1,1)="",INDEX(IHZ_HAZ_UNITTYPE,1,1)="",INDEX(IHZ_HAZ_TEUID,1,1)="",INDEX(IHZ_HAZ_LOCATION,1,1)="",INDEX(IHZ_HAZ_PACKAGES,1,1)="",INDEX(IHZ_HAZ_AMOUNT,1,1)="")</f>
        <v>1</v>
      </c>
      <c r="H3" t="s">
        <v>1914</v>
      </c>
      <c r="I3" t="s">
        <v>1391</v>
      </c>
      <c r="J3" t="b">
        <f>AND(INDEX(OHZ_DET_HAZONBOARD,1,1)="",INDEX(OHZ_DET_INFSHIPCLA,1,1)="",INDEX(OHZ_CON_FIRSTNAME,1,1)="",INDEX(OHZ_CON_LASTNAME,1,1)="",INDEX(OHZ_CON_LOCODE,1,1)="",INDEX(OHZ_CON_PHONE,1,1)="",INDEX(OHZ_CON_FAX,1,1)="",INDEX(OHZ_CON_EMAIL,1,1)="",INDEX(OHZ_DET_URL,1,1)="",INDEX(OHZ_DET_DOCTYPE,1,1)="",INDEX(OHZ_HAZ_CONSIGNMENT,1,1)="",INDEX(OHZ_HAZ_TRANSDOCID,1,1)="",INDEX(OHZ_HAZ_PORTOFLOADING,1,1)="",INDEX(OHZ_HAZ_PORTOFDISCHARGE,1,1)="",INDEX(OHZ_HAZ_DPGREF,1,1)="",INDEX(OHZ_HAZ_DGCLASSIFI,1,1)="",INDEX(OHZ_HAZ_TEXTUALREF,1,1)="",INDEX(OHZ_HAZ_IMOHAZARDC,1,1)="",INDEX(OHZ_HAZ_UNNUMBER,1,1)="",INDEX(OHZ_HAZ_TOTAMOUNT,1,1)="",INDEX(OHZ_HAZ_PACKINGGRO,1,1)="",INDEX(OHZ_HAZ_FLASHPOINT,1,1)="",INDEX(OHZ_HAZ_MARPOLCODE,1,1)="",INDEX(OHZ_HAZ_PACTYPE,1,1)="",INDEX(OHZ_HAZ_TOTALPACKA,1,1)="",INDEX(OHZ_HAZ_ADDITIONAL,1,1)="",INDEX(OHZ_HAZ_EMS,1,1)="",INDEX(OHZ_HAZ_SUBSIDIARY,1,1)="",INDEX(OHZ_HAZ_UNITTYPE,1,1)="",INDEX(OHZ_HAZ_TEUID,1,1)="",INDEX(OHZ_HAZ_LOCATION,1,1)="",INDEX(OHZ_HAZ_PACKAGES,1,1)="",INDEX(OHZ_HAZ_AMOUNT,1,1)="")</f>
        <v>1</v>
      </c>
      <c r="K3" t="s">
        <v>1914</v>
      </c>
      <c r="L3" t="s">
        <v>1391</v>
      </c>
      <c r="M3" t="b">
        <f>AND(INDEX(VES_VID_IMO,1,1)="",INDEX(VES_VID_SHIPNAME,1,1)="",INDEX(VES_VID_CALLSIGN,1,1)="",INDEX(VES_VID_MMSI,1,1)="",INDEX(VES_VID_MMSI,1,1)="",INDEX(VES_VDE_GROSSTONNA,1,1)="",INDEX(VES_VDE_SHIPTYPE,1,1)="",INDEX(VES_REG_REGDATE,1,1)="",INDEX(VES_REG_REGNUMBER,1,1)="",INDEX(VES_REG_REGCOMPNAM,1,1)="",INDEX(VES_REG_REGCOMPIMO,1,1)="",INDEX(VES_INMARSAT,1,1)="",INDEX(VES_INMARSAT,2,1)="",INDEX(VES_INMARSAT,3,1)="",INDEX(VES_INMARSAT,4,1)="",INDEX(VES_INMARSAT,5,1)="")</f>
        <v>1</v>
      </c>
      <c r="N3" t="s">
        <v>1914</v>
      </c>
      <c r="O3" t="s">
        <v>1391</v>
      </c>
      <c r="P3" t="b">
        <f>AND(INDEX(VOY_VOY_PORTFACILI,1,1)="",INDEX(VOY_VOY_POSIINPORT,1,1)="",VOY_VOY_PORTOFCALL="Select port of call from cell above…",VOY_VOY_LASTPORT="",VOY_VOY_NEXTPORT="",INDEX(VOY_VOY_ETA,1,1)="",INDEX(VOY_VOY_ETD,1,1)="",INDEX(VOY_VOY_ETDFROMPOC,1,1)="",INDEX(VOY_VOY_ETATONEXTP,1,1)="",INDEX(VOY_VOY_BRIEFCARGO,1,1)="",INDEX(VOY_POBPOC,1,1)="",INDEX(VOY_ARR_ATA,1,1)="",INDEX(VOY_ARR_ANCHORAGE,1,1)="",INDEX(VOY_DEP_ATD,1,1)="",INDEX(VOY_DEP_POBNEXTPOC,1,1)="")</f>
        <v>1</v>
      </c>
      <c r="Q3" t="s">
        <v>1914</v>
      </c>
      <c r="T3" t="s">
        <v>1604</v>
      </c>
      <c r="V3" t="s">
        <v>1855</v>
      </c>
    </row>
    <row r="4" spans="1:22" x14ac:dyDescent="0.25">
      <c r="A4" t="b">
        <f ca="1">(COUNTIF(A5:A98,FALSE)&lt;1)</f>
        <v>0</v>
      </c>
      <c r="B4" t="s">
        <v>1455</v>
      </c>
      <c r="C4" t="s">
        <v>1391</v>
      </c>
      <c r="D4" t="b">
        <f>(COUNTIF(D5:D130,FALSE)&lt;1)</f>
        <v>0</v>
      </c>
      <c r="E4" t="s">
        <v>1455</v>
      </c>
      <c r="F4" t="s">
        <v>1391</v>
      </c>
      <c r="G4" t="b">
        <f ca="1">(COUNTIF(G5:G1549,FALSE)&lt;1)</f>
        <v>0</v>
      </c>
      <c r="H4" t="s">
        <v>1455</v>
      </c>
      <c r="I4" t="s">
        <v>1391</v>
      </c>
      <c r="J4" t="b">
        <f ca="1">(COUNTIF(J5:J1545,FALSE)&lt;1)</f>
        <v>0</v>
      </c>
      <c r="K4" t="s">
        <v>1455</v>
      </c>
      <c r="L4" t="s">
        <v>1391</v>
      </c>
      <c r="M4" t="b">
        <f>(COUNTIF(M5:M17,FALSE)&lt;1)</f>
        <v>0</v>
      </c>
      <c r="N4" t="s">
        <v>1455</v>
      </c>
      <c r="P4" t="b">
        <f>(COUNTIF(P5:P24,FALSE)&lt;1)</f>
        <v>0</v>
      </c>
      <c r="Q4" t="s">
        <v>1455</v>
      </c>
      <c r="T4" t="s">
        <v>1605</v>
      </c>
      <c r="V4" t="s">
        <v>1856</v>
      </c>
    </row>
    <row r="5" spans="1:22" x14ac:dyDescent="0.25">
      <c r="A5" t="b">
        <f>SEC_CURRENTSEC&lt;&gt;""</f>
        <v>0</v>
      </c>
      <c r="B5" t="s">
        <v>1457</v>
      </c>
      <c r="C5" t="s">
        <v>1391</v>
      </c>
      <c r="D5" t="b">
        <f>WAS_OVE_STATUS&lt;&gt;""</f>
        <v>0</v>
      </c>
      <c r="E5" t="s">
        <v>1458</v>
      </c>
      <c r="F5" t="s">
        <v>1391</v>
      </c>
      <c r="G5" t="b">
        <f>IHZ_DET_HAZONBOARD&lt;&gt;""</f>
        <v>0</v>
      </c>
      <c r="H5" t="s">
        <v>1459</v>
      </c>
      <c r="I5" t="s">
        <v>1391</v>
      </c>
      <c r="J5" t="b">
        <f>OHZ_DET_HAZONBOARD&lt;&gt;""</f>
        <v>0</v>
      </c>
      <c r="K5" t="s">
        <v>1459</v>
      </c>
      <c r="L5" t="s">
        <v>1391</v>
      </c>
      <c r="M5" t="b">
        <f>IF(ISBLANK(VES_VID_IMO), TRUE(),IFERROR(IF(AND(LEN(TRIM(VES_VID_IMO))=7,EXACT(MOD(RIGHT(LEFT(VES_VID_IMO,1),1)*7+RIGHT(LEFT(VES_VID_IMO,2),1)*6+RIGHT(LEFT(VES_VID_IMO,3),1)*5+RIGHT(LEFT(VES_VID_IMO,4),1)*4+RIGHT(LEFT(VES_VID_IMO,5),1)*3+RIGHT(LEFT(VES_VID_IMO,6),1)*2,10),RIGHT(LEFT(VES_VID_IMO,7)))),TRUE(),FALSE()),FALSE()))</f>
        <v>1</v>
      </c>
      <c r="N5" t="s">
        <v>1509</v>
      </c>
      <c r="P5" t="b">
        <f>IFERROR(TMP_VOY_PORTOFCALL,FALSE)</f>
        <v>0</v>
      </c>
      <c r="Q5" t="s">
        <v>1496</v>
      </c>
      <c r="T5" t="s">
        <v>1606</v>
      </c>
      <c r="V5" t="s">
        <v>1857</v>
      </c>
    </row>
    <row r="6" spans="1:22" x14ac:dyDescent="0.25">
      <c r="A6" t="b">
        <f>OR(SEC_AGENT_PHONE&lt;&gt;"",SEC_AGENT_FAX&lt;&gt;"",SEC_AGENT_EMAIL&lt;&gt;"",SEC_AGENT_NAME="")</f>
        <v>1</v>
      </c>
      <c r="B6" t="s">
        <v>1460</v>
      </c>
      <c r="C6" t="s">
        <v>1391</v>
      </c>
      <c r="D6" t="b">
        <f>IF(AND(WAS_OVE_STATUS="ALL",COUNTIF(WAS_ITE_REMAINING,"")&lt;36),FALSE,TRUE)</f>
        <v>1</v>
      </c>
      <c r="E6" t="s">
        <v>1497</v>
      </c>
      <c r="F6" t="s">
        <v>1391</v>
      </c>
      <c r="G6" t="b">
        <f>OR(AND(INDEX(IHZ_DET_URL,1)="",INDEX(IHZ_DET_DOCTYPE,1)=""),AND(INDEX(IHZ_DET_URL,1)&lt;&gt;"",INDEX(IHZ_DET_DOCTYPE,1)&lt;&gt;""))</f>
        <v>1</v>
      </c>
      <c r="H6" t="s">
        <v>1461</v>
      </c>
      <c r="I6" t="s">
        <v>1391</v>
      </c>
      <c r="J6" t="b">
        <f>OR(AND(INDEX(OHZ_DET_URL,1,1)="",INDEX(OHZ_DET_DOCTYPE,1,1)=""),AND(INDEX(OHZ_DET_URL,1,1)&lt;&gt;"",INDEX(OHZ_DET_DOCTYPE,1,1)&lt;&gt;""))</f>
        <v>1</v>
      </c>
      <c r="K6" t="s">
        <v>1461</v>
      </c>
      <c r="L6" t="s">
        <v>1391</v>
      </c>
      <c r="M6" t="b">
        <f>LEN(VES_VID_SHIPNAME)&lt;36</f>
        <v>1</v>
      </c>
      <c r="N6" t="s">
        <v>1510</v>
      </c>
      <c r="P6" t="b">
        <f>OR(VOY_VOY_ETA&lt;&gt;"",VOY_ARR_ATA&lt;&gt;"")</f>
        <v>0</v>
      </c>
      <c r="Q6" t="s">
        <v>2036</v>
      </c>
      <c r="T6" t="s">
        <v>1607</v>
      </c>
      <c r="V6" t="s">
        <v>1858</v>
      </c>
    </row>
    <row r="7" spans="1:22" x14ac:dyDescent="0.25">
      <c r="A7" t="b">
        <f>SEC_ISSC_ISVALID&lt;&gt;""</f>
        <v>0</v>
      </c>
      <c r="B7" t="s">
        <v>1463</v>
      </c>
      <c r="C7" t="s">
        <v>1391</v>
      </c>
      <c r="D7" t="b">
        <f>AND(INDEX(WAS_ITE_DELIVERED,1,1)&lt;&gt;"",INDEX(WAS_ITE_DELIVEREDU,1,1)&lt;&gt;"",INDEX(WAS_ITE_MAXSTORAG,1,1)&lt;&gt;"",INDEX(WAS_ITE_MAXSTORAGU,1,1)&lt;&gt;"",INDEX(WAS_ITE_RETAINED,1,1)&lt;&gt;"",INDEX(WAS_ITE_RETAINEDU,1,1)&lt;&gt;"",INDEX(WAS_ITE_GENERATED,1,1)&lt;&gt;"",INDEX(WAS_ITE_GENERATEDU,1,1)&lt;&gt;"")</f>
        <v>1</v>
      </c>
      <c r="E7" t="s">
        <v>1965</v>
      </c>
      <c r="F7" t="s">
        <v>1391</v>
      </c>
      <c r="G7" t="b">
        <f>IF(OR(INDEX(IHZ_CON_EMAIL,1,1)&lt;&gt;"",INDEX(IHZ_CON_FAX,1,1)&lt;&gt;"",INDEX(IHZ_CON_FIRSTNAME,1,1)&lt;&gt;"",INDEX(IHZ_CON_LOCODE,1,1)&lt;&gt;""),INDEX(IHZ_CON_PHONE,1,1)&lt;&gt;"",TRUE)</f>
        <v>1</v>
      </c>
      <c r="H7" t="s">
        <v>1464</v>
      </c>
      <c r="I7" t="s">
        <v>1391</v>
      </c>
      <c r="J7" t="b">
        <f>IF(OR(INDEX(OHZ_CON_EMAIL,1,1)&lt;&gt;"",INDEX(OHZ_CON_FAX,1,1)&lt;&gt;"",INDEX(OHZ_CON_FIRSTNAME,1,1)&lt;&gt;"",INDEX(OHZ_CON_LOCODE,1,1)&lt;&gt;""),INDEX(OHZ_CON_PHONE,1,1)&lt;&gt;"",TRUE)</f>
        <v>1</v>
      </c>
      <c r="K7" t="s">
        <v>1464</v>
      </c>
      <c r="L7" t="s">
        <v>1391</v>
      </c>
      <c r="M7" t="b">
        <f>LEN(VES_VID_CALLSIGN)&lt;8</f>
        <v>1</v>
      </c>
      <c r="N7" t="s">
        <v>1511</v>
      </c>
      <c r="P7" t="b">
        <f>OR(VOY_VOY_ETD&lt;&gt;"",VOY_DEP_ATD&lt;&gt;"")</f>
        <v>0</v>
      </c>
      <c r="Q7" t="s">
        <v>1467</v>
      </c>
      <c r="T7" t="s">
        <v>1608</v>
      </c>
    </row>
    <row r="8" spans="1:22" x14ac:dyDescent="0.25">
      <c r="A8" t="b">
        <f>OR(AND(INDEX(SEC_ISSC_ISVALID,1,1)="FALSE",INDEX(SEC_ISSC_REASON,1,1)&lt;&gt;""),SEC_ISSC_ISVALID="TRUE")</f>
        <v>0</v>
      </c>
      <c r="B8" t="s">
        <v>1466</v>
      </c>
      <c r="C8" t="s">
        <v>1391</v>
      </c>
      <c r="D8" t="b">
        <f>AND(INDEX(WAS_ITE_DELIVERED,2,1)&lt;&gt;"",INDEX(WAS_ITE_DELIVEREDU,2,1)&lt;&gt;"",INDEX(WAS_ITE_MAXSTORAG,2,1)&lt;&gt;"",INDEX(WAS_ITE_MAXSTORAGU,2,1)&lt;&gt;"",INDEX(WAS_ITE_RETAINED,2,1)&lt;&gt;"",INDEX(WAS_ITE_RETAINEDU,2,1)&lt;&gt;"",INDEX(WAS_ITE_GENERATED,2,1)&lt;&gt;"",INDEX(WAS_ITE_GENERATEDU,2,1)&lt;&gt;"")</f>
        <v>1</v>
      </c>
      <c r="E8" t="s">
        <v>1966</v>
      </c>
      <c r="F8" t="s">
        <v>1391</v>
      </c>
      <c r="G8" t="b">
        <f>IF(OR(INDEX(IHZ_HAZ_CONSIGNMENT,1,1)&lt;&gt;"",INDEX(IHZ_HAZ_TRANSDOCID,1,1)&lt;&gt;"",INDEX(IHZ_HAZ_PORTOFLOADING,1,1)&lt;&gt;"",INDEX(IHZ_HAZ_PORTOFDISCHARGE,1,1)&lt;&gt;"",INDEX(IHZ_HAZ_DPGREF,1,1)&lt;&gt;"",INDEX(IHZ_HAZ_DGCLASSIFI,1,1)&lt;&gt;"",INDEX(IHZ_HAZ_TEXTUALREF,1,1)&lt;&gt;"",INDEX(IHZ_HAZ_IMOHAZARDC,1,1)&lt;&gt;"",INDEX(IHZ_HAZ_UNNUMBER,1,1)&lt;&gt;"",INDEX(IHZ_HAZ_TOTAMOUNT,1,1)&lt;&gt;"",INDEX(IHZ_HAZ_PACKINGGRO,1,1)&lt;&gt;"",INDEX(IHZ_HAZ_FLASHPOINT,1,1)&lt;&gt;"",INDEX(IHZ_HAZ_MARPOLCODE,1,1)&lt;&gt;"",INDEX(IHZ_HAZ_PACTYPE,1,1)&lt;&gt;"",INDEX(IHZ_HAZ_TOTALPACKA,1,1)&lt;&gt;"",INDEX(IHZ_HAZ_ADDITIONAL,1,1)&lt;&gt;"",INDEX(IHZ_HAZ_EMS,1,1)&lt;&gt;"",INDEX(IHZ_HAZ_SUBSIDIARY,1,1)&lt;&gt;"",INDEX(IHZ_HAZ_UNITTYPE,1,1)&lt;&gt;"",INDEX(IHZ_HAZ_TEUID,1,1)&lt;&gt;"",INDEX(IHZ_HAZ_LOCATION,1,1)&lt;&gt;"",INDEX(IHZ_HAZ_PACKAGES,1,1)&lt;&gt;"",INDEX(IHZ_HAZ_AMOUNT,1,1)&lt;&gt;"",),IF(OR(INDEX(IHZ_HAZ_DGCLASSIFI,1,1)="",INDEX(IHZ_HAZ_TEXTUALREF,1,1)="",INDEX(IHZ_HAZ_TOTAMOUNT,1,1)="",INDEX(IHZ_HAZ_DPGREF,1,1)="",INDEX(IHZ_HAZ_CONSIGNMENT,1,1)="",),FALSE,TRUE),TRUE)</f>
        <v>1</v>
      </c>
      <c r="H8" t="str">
        <f>T1&amp;$V$1</f>
        <v>Row 1 - All mandatory fields must be given</v>
      </c>
      <c r="I8" t="s">
        <v>1391</v>
      </c>
      <c r="J8" t="b">
        <f>IF(OR(INDEX(OHZ_HAZ_CONSIGNMENT,1,1)&lt;&gt;"",INDEX(OHZ_HAZ_TRANSDOCID,1,1)&lt;&gt;"",INDEX(OHZ_HAZ_PORTOFLOADING,1,1)&lt;&gt;"",INDEX(OHZ_HAZ_PORTOFDISCHARGE,1,1)&lt;&gt;"",INDEX(OHZ_HAZ_DPGREF,1,1)&lt;&gt;"",INDEX(OHZ_HAZ_DGCLASSIFI,1,1)&lt;&gt;"",INDEX(OHZ_HAZ_TEXTUALREF,1,1)&lt;&gt;"",INDEX(OHZ_HAZ_IMOHAZARDC,1,1)&lt;&gt;"",INDEX(OHZ_HAZ_UNNUMBER,1,1)&lt;&gt;"",INDEX(OHZ_HAZ_TOTAMOUNT,1,1)&lt;&gt;"",INDEX(OHZ_HAZ_PACKINGGRO,1,1)&lt;&gt;"",INDEX(OHZ_HAZ_FLASHPOINT,1,1)&lt;&gt;"",INDEX(OHZ_HAZ_MARPOLCODE,1,1)&lt;&gt;"",INDEX(OHZ_HAZ_PACTYPE,1,1)&lt;&gt;"",INDEX(OHZ_HAZ_TOTALPACKA,1,1)&lt;&gt;"",INDEX(OHZ_HAZ_ADDITIONAL,1,1)&lt;&gt;"",INDEX(OHZ_HAZ_EMS,1,1)&lt;&gt;"",INDEX(OHZ_HAZ_SUBSIDIARY,1,1)&lt;&gt;"",INDEX(OHZ_HAZ_UNITTYPE,1,1)&lt;&gt;"",INDEX(OHZ_HAZ_TEUID,1,1)&lt;&gt;"",INDEX(OHZ_HAZ_LOCATION,1,1)&lt;&gt;"",INDEX(OHZ_HAZ_PACKAGES,1,1)&lt;&gt;"",INDEX(OHZ_HAZ_AMOUNT,1,1)&lt;&gt;"",),IF(OR(INDEX(OHZ_HAZ_DGCLASSIFI,1,1)="",INDEX(OHZ_HAZ_TEXTUALREF,1,1)="",INDEX(OHZ_HAZ_TOTAMOUNT,1,1)="",INDEX(OHZ_HAZ_DPGREF,1,1)="",INDEX(OHZ_HAZ_CONSIGNMENT,1,1)="",),FALSE,TRUE),TRUE)</f>
        <v>1</v>
      </c>
      <c r="K8" t="str">
        <f>T1&amp;$V$1</f>
        <v>Row 1 - All mandatory fields must be given</v>
      </c>
      <c r="L8" t="s">
        <v>1391</v>
      </c>
      <c r="M8" t="b">
        <f>OR(VES_VID_MMSI="",AND(VES_VID_MMSI&gt;100000000,VES_VID_MMSI&lt;999999999))</f>
        <v>1</v>
      </c>
      <c r="N8" t="s">
        <v>1512</v>
      </c>
      <c r="P8" t="b">
        <f>NOT(AND(SUM_INCLUDE_IHZ="Include",IHZ_DET_HAZONBOARD="Yes",VOY_POBPOC=""))</f>
        <v>1</v>
      </c>
      <c r="Q8" t="s">
        <v>1469</v>
      </c>
      <c r="T8" t="s">
        <v>1609</v>
      </c>
    </row>
    <row r="9" spans="1:22" x14ac:dyDescent="0.25">
      <c r="A9" t="b">
        <f>IF(SEC_SECURITYPL&lt;&gt;"",TRUE,FALSE)</f>
        <v>0</v>
      </c>
      <c r="B9" t="s">
        <v>1468</v>
      </c>
      <c r="C9" t="s">
        <v>1391</v>
      </c>
      <c r="D9" t="b">
        <f>AND(INDEX(WAS_ITE_DELIVERED,3,1)&lt;&gt;"",INDEX(WAS_ITE_DELIVEREDU,3,1)&lt;&gt;"",INDEX(WAS_ITE_MAXSTORAG,3,1)&lt;&gt;"",INDEX(WAS_ITE_MAXSTORAGU,3,1)&lt;&gt;"",INDEX(WAS_ITE_RETAINED,3,1)&lt;&gt;"",INDEX(WAS_ITE_RETAINEDU,3,1)&lt;&gt;"",INDEX(WAS_ITE_GENERATED,3,1)&lt;&gt;"",INDEX(WAS_ITE_GENERATEDU,3,1)&lt;&gt;"")</f>
        <v>1</v>
      </c>
      <c r="E9" t="s">
        <v>1967</v>
      </c>
      <c r="F9" t="s">
        <v>1391</v>
      </c>
      <c r="G9" t="b">
        <f>IF(OR(INDEX(IHZ_HAZ_CONSIGNMENT,2,1)="",AND(INDEX(IHZ_HAZ_DPGREF,2,1)&lt;&gt;"",INDEX(IHZ_HAZ_CONSIGNMENT,2,1)=INDEX(IHZ_HAZ_CONSIGNMENT,1,1),INDEX(IHZ_HAZ_DPGREF,2,1)=INDEX(IHZ_HAZ_DPGREF,1,1))),TRUE,AND(INDEX(IHZ_HAZ_DGCLASSIFI,2,1)&lt;&gt;"",INDEX(IHZ_HAZ_TEXTUALREF,2,1)&lt;&gt;"",INDEX(IHZ_HAZ_TOTAMOUNT,2,1)&lt;&gt;""))</f>
        <v>1</v>
      </c>
      <c r="H9" t="str">
        <f t="shared" ref="H9:H72" si="0">T2&amp;$V$1</f>
        <v>Row 2 - All mandatory fields must be given</v>
      </c>
      <c r="I9" t="s">
        <v>1391</v>
      </c>
      <c r="J9" t="b">
        <f>IF(OR(INDEX(OHZ_HAZ_CONSIGNMENT,2,1)="",AND(INDEX(OHZ_HAZ_DPGREF,2,1)&lt;&gt;"",INDEX(OHZ_HAZ_CONSIGNMENT,2,1)=INDEX(OHZ_HAZ_CONSIGNMENT,1,1),INDEX(OHZ_HAZ_DPGREF,2,1)=INDEX(OHZ_HAZ_DPGREF,1,1))),TRUE,AND(INDEX(OHZ_HAZ_DGCLASSIFI,2,1)&lt;&gt;"",INDEX(OHZ_HAZ_TEXTUALREF,2,1)&lt;&gt;"",INDEX(OHZ_HAZ_TOTAMOUNT,2,1)&lt;&gt;""))</f>
        <v>1</v>
      </c>
      <c r="K9" t="str">
        <f t="shared" ref="K9:K72" si="1">T2&amp;$V$1</f>
        <v>Row 2 - All mandatory fields must be given</v>
      </c>
      <c r="L9" t="s">
        <v>1391</v>
      </c>
      <c r="M9" t="b">
        <f>OR(VES_VDE_GROSSTONNA="",AND(VES_VDE_GROSSTONNA&gt;0,VES_VDE_GROSSTONNA&lt;1000000))</f>
        <v>1</v>
      </c>
      <c r="N9" t="s">
        <v>1514</v>
      </c>
      <c r="P9" t="b">
        <f>NOT(AND(SUM_INCLUDE_OHZ="Include",OHZ_DET_HAZONBOARD="Yes",VOY_DEP_POBNEXTPOC=""))</f>
        <v>1</v>
      </c>
      <c r="Q9" t="s">
        <v>1471</v>
      </c>
      <c r="T9" t="s">
        <v>1610</v>
      </c>
    </row>
    <row r="10" spans="1:22" x14ac:dyDescent="0.25">
      <c r="A10" t="b">
        <f>AND(SEC_CSO_LASTNAME&lt;&gt;"",OR(SEC_CSO_PHONE&lt;&gt;"",SEC_CSO_FAX&lt;&gt;"",SEC_CSO_EMAIL&lt;&gt;""))</f>
        <v>0</v>
      </c>
      <c r="B10" t="s">
        <v>1470</v>
      </c>
      <c r="C10" t="s">
        <v>1391</v>
      </c>
      <c r="D10" t="b">
        <f>AND(INDEX(WAS_ITE_DELIVERED,4,1)&lt;&gt;"",INDEX(WAS_ITE_DELIVEREDU,4,1)&lt;&gt;"",INDEX(WAS_ITE_MAXSTORAG,4,1)&lt;&gt;"",INDEX(WAS_ITE_MAXSTORAGU,4,1)&lt;&gt;"",INDEX(WAS_ITE_RETAINED,4,1)&lt;&gt;"",INDEX(WAS_ITE_RETAINEDU,4,1)&lt;&gt;"",INDEX(WAS_ITE_GENERATED,4,1)&lt;&gt;"",INDEX(WAS_ITE_GENERATEDU,4,1)&lt;&gt;"")</f>
        <v>1</v>
      </c>
      <c r="E10" t="s">
        <v>1968</v>
      </c>
      <c r="F10" t="s">
        <v>1391</v>
      </c>
      <c r="G10" t="b">
        <f>IF(OR(INDEX(IHZ_HAZ_CONSIGNMENT,3,1)="",AND(INDEX(IHZ_HAZ_DPGREF,3,1)&lt;&gt;"",INDEX(IHZ_HAZ_CONSIGNMENT,3,1)=INDEX(IHZ_HAZ_CONSIGNMENT,2,1),INDEX(IHZ_HAZ_DPGREF,3,1)=INDEX(IHZ_HAZ_DPGREF,2,1))),TRUE,AND(INDEX(IHZ_HAZ_DGCLASSIFI,3,1)&lt;&gt;"",INDEX(IHZ_HAZ_TEXTUALREF,3,1)&lt;&gt;"",INDEX(IHZ_HAZ_TOTAMOUNT,3,1)&lt;&gt;""))</f>
        <v>1</v>
      </c>
      <c r="H10" t="str">
        <f t="shared" si="0"/>
        <v>Row 3 - All mandatory fields must be given</v>
      </c>
      <c r="I10" t="s">
        <v>1391</v>
      </c>
      <c r="J10" t="b">
        <f>IF(OR(INDEX(OHZ_HAZ_CONSIGNMENT,3,1)="",AND(INDEX(OHZ_HAZ_DPGREF,3,1)&lt;&gt;"",INDEX(OHZ_HAZ_CONSIGNMENT,3,1)=INDEX(OHZ_HAZ_CONSIGNMENT,2,1),INDEX(OHZ_HAZ_DPGREF,3,1)=INDEX(OHZ_HAZ_DPGREF,2,1))),TRUE,AND(INDEX(OHZ_HAZ_DGCLASSIFI,3,1)&lt;&gt;"",INDEX(OHZ_HAZ_TEXTUALREF,3,1)&lt;&gt;"",INDEX(OHZ_HAZ_TOTAMOUNT,3,1)&lt;&gt;""))</f>
        <v>1</v>
      </c>
      <c r="K10" t="str">
        <f t="shared" si="1"/>
        <v>Row 3 - All mandatory fields must be given</v>
      </c>
      <c r="L10" t="s">
        <v>1391</v>
      </c>
      <c r="M10" t="b">
        <f>OR(VES_VDE_SHIPTYPE="",COUNTIF(Ship_types,VES_VDE_SHIPTYPE)=1)</f>
        <v>1</v>
      </c>
      <c r="N10" t="s">
        <v>1513</v>
      </c>
      <c r="P10" t="b">
        <f>NOT(AND(SUM_INCLUDE_OHZ="Include",OHZ_DET_HAZONBOARD="Yes",VOY_VOY_NEXTPORT=""))</f>
        <v>1</v>
      </c>
      <c r="Q10" t="s">
        <v>1473</v>
      </c>
      <c r="T10" t="s">
        <v>1611</v>
      </c>
    </row>
    <row r="11" spans="1:22" x14ac:dyDescent="0.25">
      <c r="A11" t="b">
        <f>OR(AND(SEC_ISSC_ISVALID="TRUE",SEC_ISSC_TYPE&lt;&gt;"",SEC_ISSC_ISSUER&lt;&gt;"",SEC_ISSC_EXPIRY&lt;&gt;""),SEC_ISSC_ISVALID="FALSE")</f>
        <v>0</v>
      </c>
      <c r="B11" t="s">
        <v>1472</v>
      </c>
      <c r="C11" t="s">
        <v>1391</v>
      </c>
      <c r="D11" t="b">
        <f>AND(INDEX(WAS_ITE_DELIVERED,6,1)&lt;&gt;"",INDEX(WAS_ITE_DELIVEREDU,6,1)&lt;&gt;"",INDEX(WAS_ITE_MAXSTORAG,6,1)&lt;&gt;"",INDEX(WAS_ITE_MAXSTORAGU,6,1)&lt;&gt;"",INDEX(WAS_ITE_RETAINED,6,1)&lt;&gt;"",INDEX(WAS_ITE_RETAINEDU,6,1)&lt;&gt;"",INDEX(WAS_ITE_GENERATED,6,1)&lt;&gt;"",INDEX(WAS_ITE_GENERATEDU,6,1)&lt;&gt;"")</f>
        <v>1</v>
      </c>
      <c r="E11" t="s">
        <v>1969</v>
      </c>
      <c r="F11" t="s">
        <v>1391</v>
      </c>
      <c r="G11" t="b">
        <f>IF(OR(INDEX(IHZ_HAZ_CONSIGNMENT,4,1)="",AND(INDEX(IHZ_HAZ_DPGREF,4,1)&lt;&gt;"",INDEX(IHZ_HAZ_CONSIGNMENT,4,1)=INDEX(IHZ_HAZ_CONSIGNMENT,3,1),INDEX(IHZ_HAZ_DPGREF,4,1)=INDEX(IHZ_HAZ_DPGREF,3,1))),TRUE,AND(INDEX(IHZ_HAZ_DGCLASSIFI,4,1)&lt;&gt;"",INDEX(IHZ_HAZ_TEXTUALREF,4,1)&lt;&gt;"",INDEX(IHZ_HAZ_TOTAMOUNT,4,1)&lt;&gt;""))</f>
        <v>1</v>
      </c>
      <c r="H11" t="str">
        <f t="shared" si="0"/>
        <v>Row 4 - All mandatory fields must be given</v>
      </c>
      <c r="I11" t="s">
        <v>1391</v>
      </c>
      <c r="J11" t="b">
        <f>IF(OR(INDEX(OHZ_HAZ_CONSIGNMENT,4,1)="",AND(INDEX(OHZ_HAZ_DPGREF,4,1)&lt;&gt;"",INDEX(OHZ_HAZ_CONSIGNMENT,4,1)=INDEX(OHZ_HAZ_CONSIGNMENT,3,1),INDEX(OHZ_HAZ_DPGREF,4,1)=INDEX(OHZ_HAZ_DPGREF,3,1))),TRUE,AND(INDEX(OHZ_HAZ_DGCLASSIFI,4,1)&lt;&gt;"",INDEX(OHZ_HAZ_TEXTUALREF,4,1)&lt;&gt;"",INDEX(OHZ_HAZ_TOTAMOUNT,4,1)&lt;&gt;""))</f>
        <v>1</v>
      </c>
      <c r="K11" t="str">
        <f t="shared" si="1"/>
        <v>Row 4 - All mandatory fields must be given</v>
      </c>
      <c r="L11" t="s">
        <v>1391</v>
      </c>
      <c r="M11" t="e">
        <f>OR(VES_VDE_REGPORT="Select port of registry from cell above…",COUNTIF(REF_LOCODES,VES_VDE_REGPORT))</f>
        <v>#NAME?</v>
      </c>
      <c r="N11" t="s">
        <v>1515</v>
      </c>
      <c r="P11" t="b">
        <f>NOT(AND(SUM_INCLUDE_OHZ="Include",OHZ_DET_HAZONBOARD="Yes",AND(VOY_VOY_NEXTPORT&lt;&gt;"ZZUKN",VOY_VOY_ETATONEXTP="")))</f>
        <v>1</v>
      </c>
      <c r="Q11" t="s">
        <v>1475</v>
      </c>
      <c r="T11" t="s">
        <v>1612</v>
      </c>
    </row>
    <row r="12" spans="1:22" x14ac:dyDescent="0.25">
      <c r="A12" t="b">
        <f>IF(SEC_ISSC_ISVALID=TRUE,SEC_ISSC_REASON="",TRUE)</f>
        <v>1</v>
      </c>
      <c r="B12" t="s">
        <v>1474</v>
      </c>
      <c r="C12" t="s">
        <v>1391</v>
      </c>
      <c r="D12" t="b">
        <f>AND(INDEX(WAS_ITE_DELIVERED,8,1)&lt;&gt;"",INDEX(WAS_ITE_DELIVEREDU,8,1)&lt;&gt;"",INDEX(WAS_ITE_MAXSTORAG,8,1)&lt;&gt;"",INDEX(WAS_ITE_MAXSTORAGU,8,1)&lt;&gt;"",INDEX(WAS_ITE_RETAINED,8,1)&lt;&gt;"",INDEX(WAS_ITE_RETAINEDU,8,1)&lt;&gt;"",INDEX(WAS_ITE_GENERATED,8,1)&lt;&gt;"",INDEX(WAS_ITE_GENERATEDU,8,1)&lt;&gt;"")</f>
        <v>1</v>
      </c>
      <c r="E12" t="s">
        <v>1970</v>
      </c>
      <c r="F12" t="s">
        <v>1391</v>
      </c>
      <c r="G12" t="b">
        <f>IF(OR(INDEX(IHZ_HAZ_CONSIGNMENT,5,1)="",AND(INDEX(IHZ_HAZ_DPGREF,5,1)&lt;&gt;"",INDEX(IHZ_HAZ_CONSIGNMENT,5,1)=INDEX(IHZ_HAZ_CONSIGNMENT,4,1),INDEX(IHZ_HAZ_DPGREF,5,1)=INDEX(IHZ_HAZ_DPGREF,4,1))),TRUE,AND(INDEX(IHZ_HAZ_DGCLASSIFI,5,1)&lt;&gt;"",INDEX(IHZ_HAZ_TEXTUALREF,5,1)&lt;&gt;"",INDEX(IHZ_HAZ_TOTAMOUNT,5,1)&lt;&gt;""))</f>
        <v>1</v>
      </c>
      <c r="H12" t="str">
        <f t="shared" si="0"/>
        <v>Row 5 - All mandatory fields must be given</v>
      </c>
      <c r="I12" t="s">
        <v>1391</v>
      </c>
      <c r="J12" t="b">
        <f>IF(OR(INDEX(OHZ_HAZ_CONSIGNMENT,5,1)="",AND(INDEX(OHZ_HAZ_DPGREF,5,1)&lt;&gt;"",INDEX(OHZ_HAZ_CONSIGNMENT,5,1)=INDEX(OHZ_HAZ_CONSIGNMENT,4,1),INDEX(OHZ_HAZ_DPGREF,5,1)=INDEX(OHZ_HAZ_DPGREF,4,1))),TRUE,AND(INDEX(OHZ_HAZ_DGCLASSIFI,5,1)&lt;&gt;"",INDEX(OHZ_HAZ_TEXTUALREF,5,1)&lt;&gt;"",INDEX(OHZ_HAZ_TOTAMOUNT,5,1)&lt;&gt;""))</f>
        <v>1</v>
      </c>
      <c r="K12" t="str">
        <f t="shared" si="1"/>
        <v>Row 5 - All mandatory fields must be given</v>
      </c>
      <c r="L12" t="s">
        <v>1391</v>
      </c>
      <c r="P12" t="b">
        <f>OR(VOY_VOY_PORTFACILI="",IF(ISNUMBER(TRIM(VOY_VOY_PORTFACILI)*1),AND(MOD(VOY_VOY_PORTFACILI,1)=0,LEN(VOY_VOY_PORTFACILI)=4),FALSE))</f>
        <v>1</v>
      </c>
      <c r="Q12" t="s">
        <v>1916</v>
      </c>
      <c r="T12" t="s">
        <v>1613</v>
      </c>
    </row>
    <row r="13" spans="1:22" x14ac:dyDescent="0.25">
      <c r="A13" t="b">
        <f>IF(OR(INDEX(SEC_LAST_DATEOFARRI,1,1)&lt;&gt;"",INDEX(SEC_LAST_DATEOFDEPT,1,1)&lt;&gt;"",INDEX(SEC_LAST_COUNTRY,1,1)&lt;&gt;"",INDEX(SEC_LAST_FACNAME,1,1)&lt;&gt;"",INDEX(SEC_LAST_PORT,1,1)&lt;&gt;"",INDEX(SEC_LAST_PORTFAC,1,1)&lt;&gt;"",INDEX(SEC_LAST_SECLEVEL,1,1)&lt;&gt;"",INDEX(SEC_LAST_SECMEASURE,1,1)&lt;&gt;"",),IF(OR(INDEX(SEC_LAST_DATEOFARRI,1,1)="",INDEX(SEC_LAST_DATEOFDEPT,1,1)="",INDEX(SEC_LAST_FACNAME,1,1)="",INDEX(SEC_LAST_PORT,1,1)="",INDEX(SEC_LAST_PORTFAC,1,1)="",INDEX(SEC_LAST_SECLEVEL,1,1)="",),FALSE,TRUE),TRUE)</f>
        <v>1</v>
      </c>
      <c r="B13" t="s">
        <v>1476</v>
      </c>
      <c r="C13" t="s">
        <v>1391</v>
      </c>
      <c r="D13" t="b">
        <f>AND(INDEX(WAS_ITE_DELIVERED,9,1)&lt;&gt;"",INDEX(WAS_ITE_DELIVEREDU,9,1)&lt;&gt;"",INDEX(WAS_ITE_MAXSTORAG,9,1)&lt;&gt;"",INDEX(WAS_ITE_MAXSTORAGU,9,1)&lt;&gt;"",INDEX(WAS_ITE_RETAINED,9,1)&lt;&gt;"",INDEX(WAS_ITE_RETAINEDU,9,1)&lt;&gt;"",INDEX(WAS_ITE_GENERATED,9,1)&lt;&gt;"",INDEX(WAS_ITE_GENERATEDU,9,1)&lt;&gt;"")</f>
        <v>1</v>
      </c>
      <c r="E13" t="s">
        <v>1971</v>
      </c>
      <c r="F13" t="s">
        <v>1391</v>
      </c>
      <c r="G13" t="b">
        <f>IF(OR(INDEX(IHZ_HAZ_CONSIGNMENT,6,1)="",AND(INDEX(IHZ_HAZ_DPGREF,6,1)&lt;&gt;"",INDEX(IHZ_HAZ_CONSIGNMENT,6,1)=INDEX(IHZ_HAZ_CONSIGNMENT,5,1),INDEX(IHZ_HAZ_DPGREF,6,1)=INDEX(IHZ_HAZ_DPGREF,5,1))),TRUE,AND(INDEX(IHZ_HAZ_DGCLASSIFI,6,1)&lt;&gt;"",INDEX(IHZ_HAZ_TEXTUALREF,6,1)&lt;&gt;"",INDEX(IHZ_HAZ_TOTAMOUNT,6,1)&lt;&gt;""))</f>
        <v>1</v>
      </c>
      <c r="H13" t="str">
        <f t="shared" si="0"/>
        <v>Row 6 - All mandatory fields must be given</v>
      </c>
      <c r="I13" t="s">
        <v>1391</v>
      </c>
      <c r="J13" t="b">
        <f>IF(OR(INDEX(OHZ_HAZ_CONSIGNMENT,6,1)="",AND(INDEX(OHZ_HAZ_DPGREF,6,1)&lt;&gt;"",INDEX(OHZ_HAZ_CONSIGNMENT,6,1)=INDEX(OHZ_HAZ_CONSIGNMENT,5,1),INDEX(OHZ_HAZ_DPGREF,6,1)=INDEX(OHZ_HAZ_DPGREF,5,1))),TRUE,AND(INDEX(OHZ_HAZ_DGCLASSIFI,6,1)&lt;&gt;"",INDEX(OHZ_HAZ_TEXTUALREF,6,1)&lt;&gt;"",INDEX(OHZ_HAZ_TOTAMOUNT,6,1)&lt;&gt;""))</f>
        <v>1</v>
      </c>
      <c r="K13" t="str">
        <f t="shared" si="1"/>
        <v>Row 6 - All mandatory fields must be given</v>
      </c>
      <c r="L13" t="s">
        <v>1391</v>
      </c>
      <c r="M13" t="b">
        <f>LEN(VES_REG_REGNUMBER)&lt;36</f>
        <v>1</v>
      </c>
      <c r="N13" t="s">
        <v>1516</v>
      </c>
      <c r="P13" t="b">
        <f>LEN(VOY_VOY_POSIINPORT)&lt;51</f>
        <v>1</v>
      </c>
      <c r="Q13" t="s">
        <v>1917</v>
      </c>
      <c r="T13" t="s">
        <v>1614</v>
      </c>
    </row>
    <row r="14" spans="1:22" x14ac:dyDescent="0.25">
      <c r="A14" t="b">
        <f>IF(OR(INDEX(SEC_LAST_DATEOFARRI,2,1)&lt;&gt;"",INDEX(SEC_LAST_DATEOFDEPT,2,1)&lt;&gt;"",INDEX(SEC_LAST_COUNTRY,2,1)&lt;&gt;"",INDEX(SEC_LAST_FACNAME,2,1)&lt;&gt;"",INDEX(SEC_LAST_PORT,2,1)&lt;&gt;"",INDEX(SEC_LAST_PORTFAC,2,1)&lt;&gt;"",INDEX(SEC_LAST_SECLEVEL,2,1)&lt;&gt;"",INDEX(SEC_LAST_SECMEASURE,2,1)&lt;&gt;"",),IF(OR(INDEX(SEC_LAST_DATEOFARRI,2,1)="",INDEX(SEC_LAST_DATEOFDEPT,2,1)="",INDEX(SEC_LAST_FACNAME,2,1)="",INDEX(SEC_LAST_PORT,2,1)="",INDEX(SEC_LAST_PORTFAC,2,1)="",INDEX(SEC_LAST_SECLEVEL,2,1)="",),FALSE,TRUE),TRUE)</f>
        <v>1</v>
      </c>
      <c r="B14" t="s">
        <v>1477</v>
      </c>
      <c r="C14" t="s">
        <v>1391</v>
      </c>
      <c r="D14" t="b">
        <f>AND(INDEX(WAS_ITE_DELIVERED,10,1)&lt;&gt;"",INDEX(WAS_ITE_DELIVEREDU,10,1)&lt;&gt;"",INDEX(WAS_ITE_MAXSTORAG,10,1)&lt;&gt;"",INDEX(WAS_ITE_MAXSTORAGU,10,1)&lt;&gt;"",INDEX(WAS_ITE_RETAINED,10,1)&lt;&gt;"",INDEX(WAS_ITE_RETAINEDU,10,1)&lt;&gt;"",INDEX(WAS_ITE_GENERATED,10,1)&lt;&gt;"",INDEX(WAS_ITE_GENERATEDU,10,1)&lt;&gt;"")</f>
        <v>1</v>
      </c>
      <c r="E14" t="s">
        <v>1972</v>
      </c>
      <c r="F14" t="s">
        <v>1391</v>
      </c>
      <c r="G14" t="b">
        <f>IF(OR(INDEX(IHZ_HAZ_CONSIGNMENT,7,1)="",AND(INDEX(IHZ_HAZ_DPGREF,7,1)&lt;&gt;"",INDEX(IHZ_HAZ_CONSIGNMENT,7,1)=INDEX(IHZ_HAZ_CONSIGNMENT,6,1),INDEX(IHZ_HAZ_DPGREF,7,1)=INDEX(IHZ_HAZ_DPGREF,6,1))),TRUE,AND(INDEX(IHZ_HAZ_DGCLASSIFI,7,1)&lt;&gt;"",INDEX(IHZ_HAZ_TEXTUALREF,7,1)&lt;&gt;"",INDEX(IHZ_HAZ_TOTAMOUNT,7,1)&lt;&gt;""))</f>
        <v>1</v>
      </c>
      <c r="H14" t="str">
        <f t="shared" si="0"/>
        <v>Row 7 - All mandatory fields must be given</v>
      </c>
      <c r="I14" t="s">
        <v>1391</v>
      </c>
      <c r="J14" t="b">
        <f>IF(OR(INDEX(OHZ_HAZ_CONSIGNMENT,7,1)="",AND(INDEX(OHZ_HAZ_DPGREF,7,1)&lt;&gt;"",INDEX(OHZ_HAZ_CONSIGNMENT,7,1)=INDEX(OHZ_HAZ_CONSIGNMENT,6,1),INDEX(OHZ_HAZ_DPGREF,7,1)=INDEX(OHZ_HAZ_DPGREF,6,1))),TRUE,AND(INDEX(OHZ_HAZ_DGCLASSIFI,7,1)&lt;&gt;"",INDEX(OHZ_HAZ_TEXTUALREF,7,1)&lt;&gt;"",INDEX(OHZ_HAZ_TOTAMOUNT,7,1)&lt;&gt;""))</f>
        <v>1</v>
      </c>
      <c r="K14" t="str">
        <f t="shared" si="1"/>
        <v>Row 7 - All mandatory fields must be given</v>
      </c>
      <c r="L14" t="s">
        <v>1391</v>
      </c>
      <c r="M14" t="b">
        <f>LEN(VES_REG_REGCOMPNAM)&lt;71</f>
        <v>1</v>
      </c>
      <c r="N14" t="s">
        <v>1517</v>
      </c>
      <c r="T14" t="s">
        <v>1615</v>
      </c>
    </row>
    <row r="15" spans="1:22" x14ac:dyDescent="0.25">
      <c r="A15" t="b">
        <f>IF(OR(INDEX(SEC_LAST_DATEOFARRI,3,1)&lt;&gt;"",INDEX(SEC_LAST_DATEOFDEPT,3,1)&lt;&gt;"",INDEX(SEC_LAST_COUNTRY,3,1)&lt;&gt;"",INDEX(SEC_LAST_FACNAME,3,1)&lt;&gt;"",INDEX(SEC_LAST_PORT,3,1)&lt;&gt;"",INDEX(SEC_LAST_PORTFAC,3,1)&lt;&gt;"",INDEX(SEC_LAST_SECLEVEL,3,1)&lt;&gt;"",INDEX(SEC_LAST_SECMEASURE,3,1)&lt;&gt;"",),IF(OR(INDEX(SEC_LAST_DATEOFARRI,3,1)="",INDEX(SEC_LAST_DATEOFDEPT,3,1)="",INDEX(SEC_LAST_FACNAME,3,1)="",INDEX(SEC_LAST_PORT,3,1)="",INDEX(SEC_LAST_PORTFAC,3,1)="",INDEX(SEC_LAST_SECLEVEL,3,1)="",),FALSE,TRUE),TRUE)</f>
        <v>1</v>
      </c>
      <c r="B15" t="s">
        <v>1478</v>
      </c>
      <c r="C15" t="s">
        <v>1391</v>
      </c>
      <c r="D15" t="b">
        <f>AND(INDEX(WAS_ITE_DELIVERED,11,1)&lt;&gt;"",INDEX(WAS_ITE_DELIVEREDU,11,1)&lt;&gt;"",INDEX(WAS_ITE_MAXSTORAG,11,1)&lt;&gt;"",INDEX(WAS_ITE_MAXSTORAGU,11,1)&lt;&gt;"",INDEX(WAS_ITE_RETAINED,11,1)&lt;&gt;"",INDEX(WAS_ITE_RETAINEDU,11,1)&lt;&gt;"",INDEX(WAS_ITE_GENERATED,11,1)&lt;&gt;"",INDEX(WAS_ITE_GENERATEDU,11,1)&lt;&gt;"")</f>
        <v>1</v>
      </c>
      <c r="E15" t="s">
        <v>1973</v>
      </c>
      <c r="F15" t="s">
        <v>1391</v>
      </c>
      <c r="G15" t="b">
        <f>IF(OR(INDEX(IHZ_HAZ_CONSIGNMENT,8,1)="",AND(INDEX(IHZ_HAZ_DPGREF,8,1)&lt;&gt;"",INDEX(IHZ_HAZ_CONSIGNMENT,8,1)=INDEX(IHZ_HAZ_CONSIGNMENT,7,1),INDEX(IHZ_HAZ_DPGREF,8,1)=INDEX(IHZ_HAZ_DPGREF,7,1))),TRUE,AND(INDEX(IHZ_HAZ_DGCLASSIFI,8,1)&lt;&gt;"",INDEX(IHZ_HAZ_TEXTUALREF,8,1)&lt;&gt;"",INDEX(IHZ_HAZ_TOTAMOUNT,8,1)&lt;&gt;""))</f>
        <v>1</v>
      </c>
      <c r="H15" t="str">
        <f t="shared" si="0"/>
        <v>Row 8 - All mandatory fields must be given</v>
      </c>
      <c r="I15" t="s">
        <v>1391</v>
      </c>
      <c r="J15" t="b">
        <f>IF(OR(INDEX(OHZ_HAZ_CONSIGNMENT,8,1)="",AND(INDEX(OHZ_HAZ_DPGREF,8,1)&lt;&gt;"",INDEX(OHZ_HAZ_CONSIGNMENT,8,1)=INDEX(OHZ_HAZ_CONSIGNMENT,7,1),INDEX(OHZ_HAZ_DPGREF,8,1)=INDEX(OHZ_HAZ_DPGREF,7,1))),TRUE,AND(INDEX(OHZ_HAZ_DGCLASSIFI,8,1)&lt;&gt;"",INDEX(OHZ_HAZ_TEXTUALREF,8,1)&lt;&gt;"",INDEX(OHZ_HAZ_TOTAMOUNT,8,1)&lt;&gt;""))</f>
        <v>1</v>
      </c>
      <c r="K15" t="str">
        <f t="shared" si="1"/>
        <v>Row 8 - All mandatory fields must be given</v>
      </c>
      <c r="L15" t="s">
        <v>1391</v>
      </c>
      <c r="M15" t="b">
        <f>OR(LEN(VES_REG_REGCOMPIMO)=0,(LEN(VES_REG_REGCOMPIMO)=7))</f>
        <v>1</v>
      </c>
      <c r="N15" t="s">
        <v>1518</v>
      </c>
      <c r="T15" t="s">
        <v>1616</v>
      </c>
    </row>
    <row r="16" spans="1:22" x14ac:dyDescent="0.25">
      <c r="A16" t="b">
        <f>IF(OR(INDEX(SEC_LAST_DATEOFARRI,4,1)&lt;&gt;"",INDEX(SEC_LAST_DATEOFDEPT,4,1)&lt;&gt;"",INDEX(SEC_LAST_COUNTRY,4,1)&lt;&gt;"",INDEX(SEC_LAST_FACNAME,4,1)&lt;&gt;"",INDEX(SEC_LAST_PORT,4,1)&lt;&gt;"",INDEX(SEC_LAST_PORTFAC,4,1)&lt;&gt;"",INDEX(SEC_LAST_SECLEVEL,4,1)&lt;&gt;"",INDEX(SEC_LAST_SECMEASURE,4,1)&lt;&gt;"",),IF(OR(INDEX(SEC_LAST_DATEOFARRI,4,1)="",INDEX(SEC_LAST_DATEOFDEPT,4,1)="",INDEX(SEC_LAST_FACNAME,4,1)="",INDEX(SEC_LAST_PORT,4,1)="",INDEX(SEC_LAST_PORTFAC,4,1)="",INDEX(SEC_LAST_SECLEVEL,4,1)="",),FALSE,TRUE),TRUE)</f>
        <v>1</v>
      </c>
      <c r="B16" t="s">
        <v>1479</v>
      </c>
      <c r="C16" t="s">
        <v>1391</v>
      </c>
      <c r="D16" t="b">
        <f>AND(INDEX(WAS_ITE_DELIVERED,12,1)&lt;&gt;"",INDEX(WAS_ITE_DELIVEREDU,12,1)&lt;&gt;"",INDEX(WAS_ITE_MAXSTORAG,12,1)&lt;&gt;"",INDEX(WAS_ITE_MAXSTORAGU,12,1)&lt;&gt;"",INDEX(WAS_ITE_RETAINED,12,1)&lt;&gt;"",INDEX(WAS_ITE_RETAINEDU,12,1)&lt;&gt;"",INDEX(WAS_ITE_GENERATED,12,1)&lt;&gt;"",INDEX(WAS_ITE_GENERATEDU,12,1)&lt;&gt;"")</f>
        <v>1</v>
      </c>
      <c r="E16" t="s">
        <v>1974</v>
      </c>
      <c r="F16" t="s">
        <v>1391</v>
      </c>
      <c r="G16" t="b">
        <f>IF(OR(INDEX(IHZ_HAZ_CONSIGNMENT,9,1)="",AND(INDEX(IHZ_HAZ_DPGREF,9,1)&lt;&gt;"",INDEX(IHZ_HAZ_CONSIGNMENT,9,1)=INDEX(IHZ_HAZ_CONSIGNMENT,8,1),INDEX(IHZ_HAZ_DPGREF,9,1)=INDEX(IHZ_HAZ_DPGREF,8,1))),TRUE,AND(INDEX(IHZ_HAZ_DGCLASSIFI,9,1)&lt;&gt;"",INDEX(IHZ_HAZ_TEXTUALREF,9,1)&lt;&gt;"",INDEX(IHZ_HAZ_TOTAMOUNT,9,1)&lt;&gt;""))</f>
        <v>1</v>
      </c>
      <c r="H16" t="str">
        <f t="shared" si="0"/>
        <v>Row 9 - All mandatory fields must be given</v>
      </c>
      <c r="I16" t="s">
        <v>1391</v>
      </c>
      <c r="J16" t="b">
        <f>IF(OR(INDEX(OHZ_HAZ_CONSIGNMENT,9,1)="",AND(INDEX(OHZ_HAZ_DPGREF,9,1)&lt;&gt;"",INDEX(OHZ_HAZ_CONSIGNMENT,9,1)=INDEX(OHZ_HAZ_CONSIGNMENT,8,1),INDEX(OHZ_HAZ_DPGREF,9,1)=INDEX(OHZ_HAZ_DPGREF,8,1))),TRUE,AND(INDEX(OHZ_HAZ_DGCLASSIFI,9,1)&lt;&gt;"",INDEX(OHZ_HAZ_TEXTUALREF,9,1)&lt;&gt;"",INDEX(OHZ_HAZ_TOTAMOUNT,9,1)&lt;&gt;""))</f>
        <v>1</v>
      </c>
      <c r="K16" t="str">
        <f t="shared" si="1"/>
        <v>Row 9 - All mandatory fields must be given</v>
      </c>
      <c r="L16" t="s">
        <v>1391</v>
      </c>
      <c r="M16" t="b">
        <f>SUMPRODUCT(--(LEN(VES_INMARSAT)&gt;45))=0</f>
        <v>1</v>
      </c>
      <c r="N16" t="s">
        <v>2039</v>
      </c>
      <c r="T16" t="s">
        <v>1617</v>
      </c>
    </row>
    <row r="17" spans="1:20" x14ac:dyDescent="0.25">
      <c r="A17" t="b">
        <f>IF(OR(INDEX(SEC_LAST_DATEOFARRI,5,1)&lt;&gt;"",INDEX(SEC_LAST_DATEOFDEPT,5,1)&lt;&gt;"",INDEX(SEC_LAST_COUNTRY,5,1)&lt;&gt;"",INDEX(SEC_LAST_FACNAME,5,1)&lt;&gt;"",INDEX(SEC_LAST_PORT,5,1)&lt;&gt;"",INDEX(SEC_LAST_PORTFAC,5,1)&lt;&gt;"",INDEX(SEC_LAST_SECLEVEL,5,1)&lt;&gt;"",INDEX(SEC_LAST_SECMEASURE,5,1)&lt;&gt;"",),IF(OR(INDEX(SEC_LAST_DATEOFARRI,5,1)="",INDEX(SEC_LAST_DATEOFDEPT,5,1)="",INDEX(SEC_LAST_FACNAME,5,1)="",INDEX(SEC_LAST_PORT,5,1)="",INDEX(SEC_LAST_PORTFAC,5,1)="",INDEX(SEC_LAST_SECLEVEL,5,1)="",),FALSE,TRUE),TRUE)</f>
        <v>1</v>
      </c>
      <c r="B17" t="s">
        <v>1480</v>
      </c>
      <c r="C17" t="s">
        <v>1391</v>
      </c>
      <c r="D17" t="b">
        <f>AND(INDEX(WAS_ITE_DELIVERED,13,1)&lt;&gt;"",INDEX(WAS_ITE_DELIVEREDU,13,1)&lt;&gt;"",INDEX(WAS_ITE_MAXSTORAG,13,1)&lt;&gt;"",INDEX(WAS_ITE_MAXSTORAGU,13,1)&lt;&gt;"",INDEX(WAS_ITE_RETAINED,13,1)&lt;&gt;"",INDEX(WAS_ITE_RETAINEDU,13,1)&lt;&gt;"",INDEX(WAS_ITE_GENERATED,13,1)&lt;&gt;"",INDEX(WAS_ITE_GENERATEDU,13,1)&lt;&gt;"")</f>
        <v>1</v>
      </c>
      <c r="E17" t="s">
        <v>1975</v>
      </c>
      <c r="F17" t="s">
        <v>1391</v>
      </c>
      <c r="G17" t="b">
        <f>IF(OR(INDEX(IHZ_HAZ_CONSIGNMENT,10,1)="",AND(INDEX(IHZ_HAZ_DPGREF,10,1)&lt;&gt;"",INDEX(IHZ_HAZ_CONSIGNMENT,10,1)=INDEX(IHZ_HAZ_CONSIGNMENT,9,1),INDEX(IHZ_HAZ_DPGREF,10,1)=INDEX(IHZ_HAZ_DPGREF,9,1))),TRUE,AND(INDEX(IHZ_HAZ_DGCLASSIFI,10,1)&lt;&gt;"",INDEX(IHZ_HAZ_TEXTUALREF,10,1)&lt;&gt;"",INDEX(IHZ_HAZ_TOTAMOUNT,10,1)&lt;&gt;""))</f>
        <v>1</v>
      </c>
      <c r="H17" t="str">
        <f t="shared" si="0"/>
        <v>Row 10 - All mandatory fields must be given</v>
      </c>
      <c r="I17" t="s">
        <v>1391</v>
      </c>
      <c r="J17" t="b">
        <f>IF(OR(INDEX(OHZ_HAZ_CONSIGNMENT,10,1)="",AND(INDEX(OHZ_HAZ_DPGREF,10,1)&lt;&gt;"",INDEX(OHZ_HAZ_CONSIGNMENT,10,1)=INDEX(OHZ_HAZ_CONSIGNMENT,9,1),INDEX(OHZ_HAZ_DPGREF,10,1)=INDEX(OHZ_HAZ_DPGREF,9,1))),TRUE,AND(INDEX(OHZ_HAZ_DGCLASSIFI,10,1)&lt;&gt;"",INDEX(OHZ_HAZ_TEXTUALREF,10,1)&lt;&gt;"",INDEX(OHZ_HAZ_TOTAMOUNT,10,1)&lt;&gt;""))</f>
        <v>1</v>
      </c>
      <c r="K17" t="str">
        <f t="shared" si="1"/>
        <v>Row 10 - All mandatory fields must be given</v>
      </c>
      <c r="L17" t="s">
        <v>1391</v>
      </c>
      <c r="M17" t="b">
        <f>(COUNTIF(M18:M21,TRUE)&gt;1)</f>
        <v>0</v>
      </c>
      <c r="N17" t="s">
        <v>1456</v>
      </c>
      <c r="T17" t="s">
        <v>1618</v>
      </c>
    </row>
    <row r="18" spans="1:20" x14ac:dyDescent="0.25">
      <c r="A18" t="b">
        <f>IF(OR(INDEX(SEC_LAST_DATEOFARRI,6,1)&lt;&gt;"",INDEX(SEC_LAST_DATEOFDEPT,6,1)&lt;&gt;"",INDEX(SEC_LAST_COUNTRY,6,1)&lt;&gt;"",INDEX(SEC_LAST_FACNAME,6,1)&lt;&gt;"",INDEX(SEC_LAST_PORT,6,1)&lt;&gt;"",INDEX(SEC_LAST_PORTFAC,6,1)&lt;&gt;"",INDEX(SEC_LAST_SECLEVEL,6,1)&lt;&gt;"",INDEX(SEC_LAST_SECMEASURE,6,1)&lt;&gt;"",),IF(OR(INDEX(SEC_LAST_DATEOFARRI,6,1)="",INDEX(SEC_LAST_DATEOFDEPT,6,1)="",INDEX(SEC_LAST_FACNAME,6,1)="",INDEX(SEC_LAST_PORT,6,1)="",INDEX(SEC_LAST_PORTFAC,6,1)="",INDEX(SEC_LAST_SECLEVEL,6,1)="",),FALSE,TRUE),TRUE)</f>
        <v>1</v>
      </c>
      <c r="B18" t="s">
        <v>1481</v>
      </c>
      <c r="C18" t="s">
        <v>1391</v>
      </c>
      <c r="D18" t="b">
        <f>AND(INDEX(WAS_ITE_DELIVERED,14,1)&lt;&gt;"",INDEX(WAS_ITE_DELIVEREDU,14,1)&lt;&gt;"",INDEX(WAS_ITE_MAXSTORAG,14,1)&lt;&gt;"",INDEX(WAS_ITE_MAXSTORAGU,14,1)&lt;&gt;"",INDEX(WAS_ITE_RETAINED,14,1)&lt;&gt;"",INDEX(WAS_ITE_RETAINEDU,14,1)&lt;&gt;"",INDEX(WAS_ITE_GENERATED,14,1)&lt;&gt;"",INDEX(WAS_ITE_GENERATEDU,14,1)&lt;&gt;"")</f>
        <v>1</v>
      </c>
      <c r="E18" t="s">
        <v>1976</v>
      </c>
      <c r="F18" t="s">
        <v>1391</v>
      </c>
      <c r="G18" t="b">
        <f>IF(OR(INDEX(IHZ_HAZ_CONSIGNMENT,11,1)="",AND(INDEX(IHZ_HAZ_DPGREF,11,1)&lt;&gt;"",INDEX(IHZ_HAZ_CONSIGNMENT,11,1)=INDEX(IHZ_HAZ_CONSIGNMENT,10,1),INDEX(IHZ_HAZ_DPGREF,11,1)=INDEX(IHZ_HAZ_DPGREF,10,1))),TRUE,AND(INDEX(IHZ_HAZ_DGCLASSIFI,11,1)&lt;&gt;"",INDEX(IHZ_HAZ_TEXTUALREF,11,1)&lt;&gt;"",INDEX(IHZ_HAZ_TOTAMOUNT,11,1)&lt;&gt;""))</f>
        <v>1</v>
      </c>
      <c r="H18" t="str">
        <f t="shared" si="0"/>
        <v>Row 11 - All mandatory fields must be given</v>
      </c>
      <c r="I18" t="s">
        <v>1391</v>
      </c>
      <c r="J18" t="b">
        <f>IF(OR(INDEX(OHZ_HAZ_CONSIGNMENT,11,1)="",AND(INDEX(OHZ_HAZ_DPGREF,11,1)&lt;&gt;"",INDEX(OHZ_HAZ_CONSIGNMENT,11,1)=INDEX(OHZ_HAZ_CONSIGNMENT,10,1),INDEX(OHZ_HAZ_DPGREF,11,1)=INDEX(OHZ_HAZ_DPGREF,10,1))),TRUE,AND(INDEX(OHZ_HAZ_DGCLASSIFI,11,1)&lt;&gt;"",INDEX(OHZ_HAZ_TEXTUALREF,11,1)&lt;&gt;"",INDEX(OHZ_HAZ_TOTAMOUNT,11,1)&lt;&gt;""))</f>
        <v>1</v>
      </c>
      <c r="K18" t="str">
        <f t="shared" si="1"/>
        <v>Row 11 - All mandatory fields must be given</v>
      </c>
      <c r="L18" t="s">
        <v>1391</v>
      </c>
      <c r="M18" t="b">
        <f>VES_VID_IMO&lt;&gt;""</f>
        <v>0</v>
      </c>
      <c r="N18" t="s">
        <v>1462</v>
      </c>
      <c r="P18" t="b">
        <f>LEN(VOY_VOY_BRIEFCARGO)&lt;256</f>
        <v>1</v>
      </c>
      <c r="Q18" t="s">
        <v>1519</v>
      </c>
      <c r="T18" t="s">
        <v>1619</v>
      </c>
    </row>
    <row r="19" spans="1:20" x14ac:dyDescent="0.25">
      <c r="A19" t="b">
        <f>IF(OR(INDEX(SEC_LAST_DATEOFARRI,7,1)&lt;&gt;"",INDEX(SEC_LAST_DATEOFDEPT,7,1)&lt;&gt;"",INDEX(SEC_LAST_COUNTRY,7,1)&lt;&gt;"",INDEX(SEC_LAST_FACNAME,7,1)&lt;&gt;"",INDEX(SEC_LAST_PORT,7,1)&lt;&gt;"",INDEX(SEC_LAST_PORTFAC,7,1)&lt;&gt;"",INDEX(SEC_LAST_SECLEVEL,7,1)&lt;&gt;"",INDEX(SEC_LAST_SECMEASURE,7,1)&lt;&gt;"",),IF(OR(INDEX(SEC_LAST_DATEOFARRI,7,1)="",INDEX(SEC_LAST_DATEOFDEPT,7,1)="",INDEX(SEC_LAST_FACNAME,7,1)="",INDEX(SEC_LAST_PORT,7,1)="",INDEX(SEC_LAST_PORTFAC,7,1)="",INDEX(SEC_LAST_SECLEVEL,7,1)="",),FALSE,TRUE),TRUE)</f>
        <v>1</v>
      </c>
      <c r="B19" t="s">
        <v>1482</v>
      </c>
      <c r="C19" t="s">
        <v>1391</v>
      </c>
      <c r="D19" t="b">
        <f>AND(INDEX(WAS_ITE_DELIVERED,15,1)&lt;&gt;"",INDEX(WAS_ITE_DELIVEREDU,15,1)&lt;&gt;"",INDEX(WAS_ITE_MAXSTORAG,15,1)&lt;&gt;"",INDEX(WAS_ITE_MAXSTORAGU,15,1)&lt;&gt;"",INDEX(WAS_ITE_RETAINED,15,1)&lt;&gt;"",INDEX(WAS_ITE_RETAINEDU,15,1)&lt;&gt;"",INDEX(WAS_ITE_GENERATED,15,1)&lt;&gt;"",INDEX(WAS_ITE_GENERATEDU,15,1)&lt;&gt;"")</f>
        <v>1</v>
      </c>
      <c r="E19" t="s">
        <v>1977</v>
      </c>
      <c r="F19" t="s">
        <v>1391</v>
      </c>
      <c r="G19" t="b">
        <f>IF(OR(INDEX(IHZ_HAZ_CONSIGNMENT,12,1)="",AND(INDEX(IHZ_HAZ_DPGREF,12,1)&lt;&gt;"",INDEX(IHZ_HAZ_CONSIGNMENT,12,1)=INDEX(IHZ_HAZ_CONSIGNMENT,11,1),INDEX(IHZ_HAZ_DPGREF,12,1)=INDEX(IHZ_HAZ_DPGREF,11,1))),TRUE,AND(INDEX(IHZ_HAZ_DGCLASSIFI,12,1)&lt;&gt;"",INDEX(IHZ_HAZ_TEXTUALREF,12,1)&lt;&gt;"",INDEX(IHZ_HAZ_TOTAMOUNT,12,1)&lt;&gt;""))</f>
        <v>1</v>
      </c>
      <c r="H19" t="str">
        <f t="shared" si="0"/>
        <v>Row 12 - All mandatory fields must be given</v>
      </c>
      <c r="I19" t="s">
        <v>1391</v>
      </c>
      <c r="J19" t="b">
        <f>IF(OR(INDEX(OHZ_HAZ_CONSIGNMENT,12,1)="",AND(INDEX(OHZ_HAZ_DPGREF,12,1)&lt;&gt;"",INDEX(OHZ_HAZ_CONSIGNMENT,12,1)=INDEX(OHZ_HAZ_CONSIGNMENT,11,1),INDEX(OHZ_HAZ_DPGREF,12,1)=INDEX(OHZ_HAZ_DPGREF,11,1))),TRUE,AND(INDEX(OHZ_HAZ_DGCLASSIFI,12,1)&lt;&gt;"",INDEX(OHZ_HAZ_TEXTUALREF,12,1)&lt;&gt;"",INDEX(OHZ_HAZ_TOTAMOUNT,12,1)&lt;&gt;""))</f>
        <v>1</v>
      </c>
      <c r="K19" t="str">
        <f t="shared" si="1"/>
        <v>Row 12 - All mandatory fields must be given</v>
      </c>
      <c r="L19" t="s">
        <v>1391</v>
      </c>
      <c r="M19" t="b">
        <f>VES_VID_SHIPNAME&lt;&gt;""</f>
        <v>0</v>
      </c>
      <c r="N19" t="s">
        <v>1465</v>
      </c>
      <c r="P19" t="b">
        <f>OR(AND(INT(VOY_DEP_POBNEXTPOC)=VOY_DEP_POBNEXTPOC,VOY_DEP_POBNEXTPOC&gt;0,VOY_POBPOC&lt;100000),VOY_DEP_POBNEXTPOC="")</f>
        <v>1</v>
      </c>
      <c r="Q19" t="s">
        <v>1520</v>
      </c>
      <c r="T19" t="s">
        <v>1620</v>
      </c>
    </row>
    <row r="20" spans="1:20" x14ac:dyDescent="0.25">
      <c r="A20" t="b">
        <f>IF(OR(INDEX(SEC_LAST_DATEOFARRI,8,1)&lt;&gt;"",INDEX(SEC_LAST_DATEOFDEPT,8,1)&lt;&gt;"",INDEX(SEC_LAST_COUNTRY,8,1)&lt;&gt;"",INDEX(SEC_LAST_FACNAME,8,1)&lt;&gt;"",INDEX(SEC_LAST_PORT,8,1)&lt;&gt;"",INDEX(SEC_LAST_PORTFAC,8,1)&lt;&gt;"",INDEX(SEC_LAST_SECLEVEL,8,1)&lt;&gt;"",INDEX(SEC_LAST_SECMEASURE,8,1)&lt;&gt;"",),IF(OR(INDEX(SEC_LAST_DATEOFARRI,8,1)="",INDEX(SEC_LAST_DATEOFDEPT,8,1)="",INDEX(SEC_LAST_FACNAME,8,1)="",INDEX(SEC_LAST_PORT,8,1)="",INDEX(SEC_LAST_PORTFAC,8,1)="",INDEX(SEC_LAST_SECLEVEL,8,1)="",),FALSE,TRUE),TRUE)</f>
        <v>1</v>
      </c>
      <c r="B20" t="s">
        <v>1483</v>
      </c>
      <c r="C20" t="s">
        <v>1391</v>
      </c>
      <c r="D20" t="b">
        <f>AND(INDEX(WAS_ITE_DELIVERED,16,1)&lt;&gt;"",INDEX(WAS_ITE_DELIVEREDU,16,1)&lt;&gt;"",INDEX(WAS_ITE_MAXSTORAG,16,1)&lt;&gt;"",INDEX(WAS_ITE_MAXSTORAGU,16,1)&lt;&gt;"",INDEX(WAS_ITE_RETAINED,16,1)&lt;&gt;"",INDEX(WAS_ITE_RETAINEDU,16,1)&lt;&gt;"",INDEX(WAS_ITE_GENERATED,16,1)&lt;&gt;"",INDEX(WAS_ITE_GENERATEDU,16,1)&lt;&gt;"")</f>
        <v>1</v>
      </c>
      <c r="E20" t="s">
        <v>1978</v>
      </c>
      <c r="F20" t="s">
        <v>1391</v>
      </c>
      <c r="G20" t="b">
        <f>IF(OR(INDEX(IHZ_HAZ_CONSIGNMENT,13,1)="",AND(INDEX(IHZ_HAZ_DPGREF,13,1)&lt;&gt;"",INDEX(IHZ_HAZ_CONSIGNMENT,13,1)=INDEX(IHZ_HAZ_CONSIGNMENT,12,1),INDEX(IHZ_HAZ_DPGREF,13,1)=INDEX(IHZ_HAZ_DPGREF,12,1))),TRUE,AND(INDEX(IHZ_HAZ_DGCLASSIFI,13,1)&lt;&gt;"",INDEX(IHZ_HAZ_TEXTUALREF,13,1)&lt;&gt;"",INDEX(IHZ_HAZ_TOTAMOUNT,13,1)&lt;&gt;""))</f>
        <v>1</v>
      </c>
      <c r="H20" t="str">
        <f t="shared" si="0"/>
        <v>Row 13 - All mandatory fields must be given</v>
      </c>
      <c r="I20" t="s">
        <v>1391</v>
      </c>
      <c r="J20" t="b">
        <f>IF(OR(INDEX(OHZ_HAZ_CONSIGNMENT,13,1)="",AND(INDEX(OHZ_HAZ_DPGREF,13,1)&lt;&gt;"",INDEX(OHZ_HAZ_CONSIGNMENT,13,1)=INDEX(OHZ_HAZ_CONSIGNMENT,12,1),INDEX(OHZ_HAZ_DPGREF,13,1)=INDEX(OHZ_HAZ_DPGREF,12,1))),TRUE,AND(INDEX(OHZ_HAZ_DGCLASSIFI,13,1)&lt;&gt;"",INDEX(OHZ_HAZ_TEXTUALREF,13,1)&lt;&gt;"",INDEX(OHZ_HAZ_TOTAMOUNT,13,1)&lt;&gt;""))</f>
        <v>1</v>
      </c>
      <c r="K20" t="str">
        <f t="shared" si="1"/>
        <v>Row 13 - All mandatory fields must be given</v>
      </c>
      <c r="L20" t="s">
        <v>1391</v>
      </c>
      <c r="M20" t="b">
        <f>VES_VID_CALLSIGN&lt;&gt;""</f>
        <v>0</v>
      </c>
      <c r="N20" t="s">
        <v>680</v>
      </c>
      <c r="T20" t="s">
        <v>1621</v>
      </c>
    </row>
    <row r="21" spans="1:20" x14ac:dyDescent="0.25">
      <c r="A21" t="b">
        <f>IF(OR(INDEX(SEC_LAST_DATEOFARRI,9,1)&lt;&gt;"",INDEX(SEC_LAST_DATEOFDEPT,9,1)&lt;&gt;"",INDEX(SEC_LAST_COUNTRY,9,1)&lt;&gt;"",INDEX(SEC_LAST_FACNAME,9,1)&lt;&gt;"",INDEX(SEC_LAST_PORT,9,1)&lt;&gt;"",INDEX(SEC_LAST_PORTFAC,9,1)&lt;&gt;"",INDEX(SEC_LAST_SECLEVEL,9,1)&lt;&gt;"",INDEX(SEC_LAST_SECMEASURE,9,1)&lt;&gt;"",),IF(OR(INDEX(SEC_LAST_DATEOFARRI,9,1)="",INDEX(SEC_LAST_DATEOFDEPT,9,1)="",INDEX(SEC_LAST_FACNAME,9,1)="",INDEX(SEC_LAST_PORT,9,1)="",INDEX(SEC_LAST_PORTFAC,9,1)="",INDEX(SEC_LAST_SECLEVEL,9,1)="",),FALSE,TRUE),TRUE)</f>
        <v>1</v>
      </c>
      <c r="B21" t="s">
        <v>1484</v>
      </c>
      <c r="C21" t="s">
        <v>1391</v>
      </c>
      <c r="D21" t="b">
        <f>AND(INDEX(WAS_ITE_DELIVERED,17,1)&lt;&gt;"",INDEX(WAS_ITE_DELIVEREDU,17,1)&lt;&gt;"",INDEX(WAS_ITE_MAXSTORAG,17,1)&lt;&gt;"",INDEX(WAS_ITE_MAXSTORAGU,17,1)&lt;&gt;"",INDEX(WAS_ITE_RETAINED,17,1)&lt;&gt;"",INDEX(WAS_ITE_RETAINEDU,17,1)&lt;&gt;"",INDEX(WAS_ITE_GENERATED,17,1)&lt;&gt;"",INDEX(WAS_ITE_GENERATEDU,17,1)&lt;&gt;"")</f>
        <v>1</v>
      </c>
      <c r="E21" t="s">
        <v>1979</v>
      </c>
      <c r="F21" t="s">
        <v>1391</v>
      </c>
      <c r="G21" t="b">
        <f>IF(OR(INDEX(IHZ_HAZ_CONSIGNMENT,14,1)="",AND(INDEX(IHZ_HAZ_DPGREF,14,1)&lt;&gt;"",INDEX(IHZ_HAZ_CONSIGNMENT,14,1)=INDEX(IHZ_HAZ_CONSIGNMENT,13,1),INDEX(IHZ_HAZ_DPGREF,14,1)=INDEX(IHZ_HAZ_DPGREF,13,1))),TRUE,AND(INDEX(IHZ_HAZ_DGCLASSIFI,14,1)&lt;&gt;"",INDEX(IHZ_HAZ_TEXTUALREF,14,1)&lt;&gt;"",INDEX(IHZ_HAZ_TOTAMOUNT,14,1)&lt;&gt;""))</f>
        <v>1</v>
      </c>
      <c r="H21" t="str">
        <f t="shared" si="0"/>
        <v>Row 14 - All mandatory fields must be given</v>
      </c>
      <c r="I21" t="s">
        <v>1391</v>
      </c>
      <c r="J21" t="b">
        <f>IF(OR(INDEX(OHZ_HAZ_CONSIGNMENT,14,1)="",AND(INDEX(OHZ_HAZ_DPGREF,14,1)&lt;&gt;"",INDEX(OHZ_HAZ_CONSIGNMENT,14,1)=INDEX(OHZ_HAZ_CONSIGNMENT,13,1),INDEX(OHZ_HAZ_DPGREF,14,1)=INDEX(OHZ_HAZ_DPGREF,13,1))),TRUE,AND(INDEX(OHZ_HAZ_DGCLASSIFI,14,1)&lt;&gt;"",INDEX(OHZ_HAZ_TEXTUALREF,14,1)&lt;&gt;"",INDEX(OHZ_HAZ_TOTAMOUNT,14,1)&lt;&gt;""))</f>
        <v>1</v>
      </c>
      <c r="K21" t="str">
        <f t="shared" si="1"/>
        <v>Row 14 - All mandatory fields must be given</v>
      </c>
      <c r="L21" t="s">
        <v>1391</v>
      </c>
      <c r="M21" t="b">
        <f>VES_VID_MMSI&lt;&gt;""</f>
        <v>0</v>
      </c>
      <c r="N21" t="s">
        <v>6</v>
      </c>
      <c r="P21" t="b">
        <f>OR((COUNTIF(REF_YES_NO,VOY_ARR_ANCHORAGE))=1,VOY_ARR_ANCHORAGE="")</f>
        <v>1</v>
      </c>
      <c r="Q21" t="s">
        <v>1521</v>
      </c>
      <c r="T21" t="s">
        <v>1622</v>
      </c>
    </row>
    <row r="22" spans="1:20" x14ac:dyDescent="0.25">
      <c r="A22" t="b">
        <f>IF(OR(INDEX(SEC_LAST_DATEOFARRI,10,1)&lt;&gt;"",INDEX(SEC_LAST_DATEOFDEPT,10,1)&lt;&gt;"",INDEX(SEC_LAST_COUNTRY,10,1)&lt;&gt;"",INDEX(SEC_LAST_FACNAME,10,1)&lt;&gt;"",INDEX(SEC_LAST_PORT,10,1)&lt;&gt;"",INDEX(SEC_LAST_PORTFAC,10,1)&lt;&gt;"",INDEX(SEC_LAST_SECLEVEL,10,1)&lt;&gt;"",INDEX(SEC_LAST_SECMEASURE,10,1)&lt;&gt;"",),IF(OR(INDEX(SEC_LAST_DATEOFARRI,10,1)="",INDEX(SEC_LAST_DATEOFDEPT,10,1)="",INDEX(SEC_LAST_FACNAME,10,1)="",INDEX(SEC_LAST_PORT,10,1)="",INDEX(SEC_LAST_PORTFAC,10,1)="",INDEX(SEC_LAST_SECLEVEL,10,1)="",),FALSE,TRUE),TRUE)</f>
        <v>1</v>
      </c>
      <c r="B22" t="s">
        <v>1485</v>
      </c>
      <c r="C22" t="s">
        <v>1391</v>
      </c>
      <c r="D22" t="b">
        <f>AND(INDEX(WAS_ITE_DELIVERED,18,1)&lt;&gt;"",INDEX(WAS_ITE_DELIVEREDU,18,1)&lt;&gt;"",INDEX(WAS_ITE_MAXSTORAG,18,1)&lt;&gt;"",INDEX(WAS_ITE_MAXSTORAGU,18,1)&lt;&gt;"",INDEX(WAS_ITE_RETAINED,18,1)&lt;&gt;"",INDEX(WAS_ITE_RETAINEDU,18,1)&lt;&gt;"",INDEX(WAS_ITE_GENERATED,18,1)&lt;&gt;"",INDEX(WAS_ITE_GENERATEDU,18,1)&lt;&gt;"")</f>
        <v>1</v>
      </c>
      <c r="E22" t="s">
        <v>1980</v>
      </c>
      <c r="F22" t="s">
        <v>1391</v>
      </c>
      <c r="G22" t="b">
        <f>IF(OR(INDEX(IHZ_HAZ_CONSIGNMENT,15,1)="",AND(INDEX(IHZ_HAZ_DPGREF,15,1)&lt;&gt;"",INDEX(IHZ_HAZ_CONSIGNMENT,15,1)=INDEX(IHZ_HAZ_CONSIGNMENT,14,1),INDEX(IHZ_HAZ_DPGREF,15,1)=INDEX(IHZ_HAZ_DPGREF,14,1))),TRUE,AND(INDEX(IHZ_HAZ_DGCLASSIFI,15,1)&lt;&gt;"",INDEX(IHZ_HAZ_TEXTUALREF,15,1)&lt;&gt;"",INDEX(IHZ_HAZ_TOTAMOUNT,15,1)&lt;&gt;""))</f>
        <v>1</v>
      </c>
      <c r="H22" t="str">
        <f t="shared" si="0"/>
        <v>Row 15 - All mandatory fields must be given</v>
      </c>
      <c r="I22" t="s">
        <v>1391</v>
      </c>
      <c r="J22" t="b">
        <f>IF(OR(INDEX(OHZ_HAZ_CONSIGNMENT,15,1)="",AND(INDEX(OHZ_HAZ_DPGREF,15,1)&lt;&gt;"",INDEX(OHZ_HAZ_CONSIGNMENT,15,1)=INDEX(OHZ_HAZ_CONSIGNMENT,14,1),INDEX(OHZ_HAZ_DPGREF,15,1)=INDEX(OHZ_HAZ_DPGREF,14,1))),TRUE,AND(INDEX(OHZ_HAZ_DGCLASSIFI,15,1)&lt;&gt;"",INDEX(OHZ_HAZ_TEXTUALREF,15,1)&lt;&gt;"",INDEX(OHZ_HAZ_TOTAMOUNT,15,1)&lt;&gt;""))</f>
        <v>1</v>
      </c>
      <c r="K22" t="str">
        <f t="shared" si="1"/>
        <v>Row 15 - All mandatory fields must be given</v>
      </c>
      <c r="L22" t="s">
        <v>1391</v>
      </c>
      <c r="T22" t="s">
        <v>1623</v>
      </c>
    </row>
    <row r="23" spans="1:20" x14ac:dyDescent="0.25">
      <c r="A23" t="b">
        <f>IF(OR(INDEX(SEC_SHIP_DATEFROM,1,1)&lt;&gt;"",INDEX(SEC_SHIP_DATETO,1,1)&lt;&gt;"",INDEX(SEC_SHIP_LATITUDE,1,1)&lt;&gt;"",INDEX(SEC_SHIP_LONGITUDE,1,1)&lt;&gt;"",INDEX(SEC_SHIP_LOCATION,1,1)&lt;&gt;"",INDEX(SEC_SHIP_ACTIVITY,1,1)&lt;&gt;"",INDEX(SEC_SHIP_SECURITYME,1,1)&lt;&gt;"",),IF(OR(INDEX(SEC_SHIP_MEASURESYORN,1,1)="",INDEX(SEC_SHIP_DATEFROM,1,1)="",INDEX(SEC_SHIP_DATETO,1,1)="",INDEX(SEC_SHIP_ACTIVITY,1,1)=""),FALSE,IF(OR(INDEX(SEC_SHIP_LOCATION,1,1)&lt;&gt;"",INDEX(SEC_SHIP_LATITUDE,1,1)&lt;&gt;"",INDEX(SEC_SHIP_LONGITUDE,1,1)&lt;&gt;""),OR(AND(INDEX(SEC_SHIP_LATITUDE,1,1)&lt;&gt;"",INDEX(SEC_SHIP_LONGITUDE,1,1)&lt;&gt;""),AND(INDEX(SEC_SHIP_LATITUDE,1,1)="",INDEX(SEC_SHIP_LONGITUDE,1,1)=""),FALSE))),TRUE)</f>
        <v>1</v>
      </c>
      <c r="B23" t="s">
        <v>1486</v>
      </c>
      <c r="C23" t="s">
        <v>1391</v>
      </c>
      <c r="D23" t="b">
        <f>AND(INDEX(WAS_ITE_DELIVERED,19,1)&lt;&gt;"",INDEX(WAS_ITE_DELIVEREDU,19,1)&lt;&gt;"",INDEX(WAS_ITE_MAXSTORAG,19,1)&lt;&gt;"",INDEX(WAS_ITE_MAXSTORAGU,19,1)&lt;&gt;"",INDEX(WAS_ITE_RETAINED,19,1)&lt;&gt;"",INDEX(WAS_ITE_RETAINEDU,19,1)&lt;&gt;"",INDEX(WAS_ITE_GENERATED,19,1)&lt;&gt;"",INDEX(WAS_ITE_GENERATEDU,19,1)&lt;&gt;"")</f>
        <v>1</v>
      </c>
      <c r="E23" t="s">
        <v>1981</v>
      </c>
      <c r="F23" t="s">
        <v>1391</v>
      </c>
      <c r="G23" t="b">
        <f>IF(OR(INDEX(IHZ_HAZ_CONSIGNMENT,16,1)="",AND(INDEX(IHZ_HAZ_DPGREF,16,1)&lt;&gt;"",INDEX(IHZ_HAZ_CONSIGNMENT,16,1)=INDEX(IHZ_HAZ_CONSIGNMENT,15,1),INDEX(IHZ_HAZ_DPGREF,16,1)=INDEX(IHZ_HAZ_DPGREF,15,1))),TRUE,AND(INDEX(IHZ_HAZ_DGCLASSIFI,16,1)&lt;&gt;"",INDEX(IHZ_HAZ_TEXTUALREF,16,1)&lt;&gt;"",INDEX(IHZ_HAZ_TOTAMOUNT,16,1)&lt;&gt;""))</f>
        <v>1</v>
      </c>
      <c r="H23" t="str">
        <f t="shared" si="0"/>
        <v>Row 16 - All mandatory fields must be given</v>
      </c>
      <c r="I23" t="s">
        <v>1391</v>
      </c>
      <c r="J23" t="b">
        <f>IF(OR(INDEX(OHZ_HAZ_CONSIGNMENT,16,1)="",AND(INDEX(OHZ_HAZ_DPGREF,16,1)&lt;&gt;"",INDEX(OHZ_HAZ_CONSIGNMENT,16,1)=INDEX(OHZ_HAZ_CONSIGNMENT,15,1),INDEX(OHZ_HAZ_DPGREF,16,1)=INDEX(OHZ_HAZ_DPGREF,15,1))),TRUE,AND(INDEX(OHZ_HAZ_DGCLASSIFI,16,1)&lt;&gt;"",INDEX(OHZ_HAZ_TEXTUALREF,16,1)&lt;&gt;"",INDEX(OHZ_HAZ_TOTAMOUNT,16,1)&lt;&gt;""))</f>
        <v>1</v>
      </c>
      <c r="K23" t="str">
        <f t="shared" si="1"/>
        <v>Row 16 - All mandatory fields must be given</v>
      </c>
      <c r="L23" t="s">
        <v>1391</v>
      </c>
      <c r="O23" t="s">
        <v>1391</v>
      </c>
      <c r="P23" t="b">
        <f>OR(AND(INT(VOY_POBPOC)=VOY_POBPOC,VOY_POBPOC&gt;0,VOY_POBPOC&lt;100000),VOY_POBPOC="")</f>
        <v>1</v>
      </c>
      <c r="Q23" t="s">
        <v>1522</v>
      </c>
      <c r="T23" t="s">
        <v>1624</v>
      </c>
    </row>
    <row r="24" spans="1:20" x14ac:dyDescent="0.25">
      <c r="A24" t="b">
        <f>IF(OR(INDEX(SEC_SHIP_DATEFROM,2,1)&lt;&gt;"",INDEX(SEC_SHIP_DATETO,2,1)&lt;&gt;"",INDEX(SEC_SHIP_LATITUDE,2,1)&lt;&gt;"",INDEX(SEC_SHIP_LONGITUDE,2,1)&lt;&gt;"",INDEX(SEC_SHIP_LOCATION,2,1)&lt;&gt;"",INDEX(SEC_SHIP_ACTIVITY,2,1)&lt;&gt;"",INDEX(SEC_SHIP_SECURITYME,2,1)&lt;&gt;"",),IF(OR(INDEX(SEC_SHIP_MEASURESYORN,2,1)="",INDEX(SEC_SHIP_DATEFROM,2,1)="",INDEX(SEC_SHIP_DATETO,2,1)="",INDEX(SEC_SHIP_ACTIVITY,2,1)="",),FALSE,IF(OR(INDEX(SEC_SHIP_LOCATION,2,1)&lt;&gt;"",INDEX(SEC_SHIP_LATITUDE,2,1)&lt;&gt;"",INDEX(SEC_SHIP_LONGITUDE,2,1)&lt;&gt;""),OR(AND(INDEX(SEC_SHIP_LATITUDE,2,1)&lt;&gt;"",INDEX(SEC_SHIP_LONGITUDE,2,1)&lt;&gt;""),AND(INDEX(SEC_SHIP_LATITUDE,2,1)="",INDEX(SEC_SHIP_LONGITUDE,2,1)=""),FALSE))),TRUE)</f>
        <v>1</v>
      </c>
      <c r="B24" t="s">
        <v>1487</v>
      </c>
      <c r="C24" t="s">
        <v>1391</v>
      </c>
      <c r="D24" t="b">
        <f>AND(INDEX(WAS_ITE_DELIVERED,20,1)&lt;&gt;"",INDEX(WAS_ITE_DELIVEREDU,20,1)&lt;&gt;"",INDEX(WAS_ITE_MAXSTORAG,20,1)&lt;&gt;"",INDEX(WAS_ITE_MAXSTORAGU,20,1)&lt;&gt;"",INDEX(WAS_ITE_RETAINED,20,1)&lt;&gt;"",INDEX(WAS_ITE_RETAINEDU,20,1)&lt;&gt;"",INDEX(WAS_ITE_GENERATED,20,1)&lt;&gt;"",INDEX(WAS_ITE_GENERATEDU,20,1)&lt;&gt;"")</f>
        <v>1</v>
      </c>
      <c r="E24" t="s">
        <v>1982</v>
      </c>
      <c r="F24" t="s">
        <v>1391</v>
      </c>
      <c r="G24" t="b">
        <f>IF(OR(INDEX(IHZ_HAZ_CONSIGNMENT,17,1)="",AND(INDEX(IHZ_HAZ_DPGREF,17,1)&lt;&gt;"",INDEX(IHZ_HAZ_CONSIGNMENT,17,1)=INDEX(IHZ_HAZ_CONSIGNMENT,16,1),INDEX(IHZ_HAZ_DPGREF,17,1)=INDEX(IHZ_HAZ_DPGREF,16,1))),TRUE,AND(INDEX(IHZ_HAZ_DGCLASSIFI,17,1)&lt;&gt;"",INDEX(IHZ_HAZ_TEXTUALREF,17,1)&lt;&gt;"",INDEX(IHZ_HAZ_TOTAMOUNT,17,1)&lt;&gt;""))</f>
        <v>1</v>
      </c>
      <c r="H24" t="str">
        <f t="shared" si="0"/>
        <v>Row 17 - All mandatory fields must be given</v>
      </c>
      <c r="I24" t="s">
        <v>1391</v>
      </c>
      <c r="J24" t="b">
        <f>IF(OR(INDEX(OHZ_HAZ_CONSIGNMENT,17,1)="",AND(INDEX(OHZ_HAZ_DPGREF,17,1)&lt;&gt;"",INDEX(OHZ_HAZ_CONSIGNMENT,17,1)=INDEX(OHZ_HAZ_CONSIGNMENT,16,1),INDEX(OHZ_HAZ_DPGREF,17,1)=INDEX(OHZ_HAZ_DPGREF,16,1))),TRUE,AND(INDEX(OHZ_HAZ_DGCLASSIFI,17,1)&lt;&gt;"",INDEX(OHZ_HAZ_TEXTUALREF,17,1)&lt;&gt;"",INDEX(OHZ_HAZ_TOTAMOUNT,17,1)&lt;&gt;""))</f>
        <v>1</v>
      </c>
      <c r="K24" t="str">
        <f t="shared" si="1"/>
        <v>Row 17 - All mandatory fields must be given</v>
      </c>
      <c r="L24" t="s">
        <v>1391</v>
      </c>
      <c r="O24" t="s">
        <v>1391</v>
      </c>
      <c r="P24" t="b">
        <f>VOY_TOTALPURPO&lt;10</f>
        <v>1</v>
      </c>
      <c r="Q24" t="s">
        <v>2034</v>
      </c>
      <c r="T24" t="s">
        <v>1625</v>
      </c>
    </row>
    <row r="25" spans="1:20" x14ac:dyDescent="0.25">
      <c r="A25" t="b">
        <f>IF(OR(INDEX(SEC_SHIP_DATEFROM,3,1)&lt;&gt;"",INDEX(SEC_SHIP_DATETO,3,1)&lt;&gt;"",INDEX(SEC_SHIP_LATITUDE,3,1)&lt;&gt;"",INDEX(SEC_SHIP_LONGITUDE,3,1)&lt;&gt;"",INDEX(SEC_SHIP_LOCATION,3,1)&lt;&gt;"",INDEX(SEC_SHIP_ACTIVITY,3,1)&lt;&gt;"",INDEX(SEC_SHIP_SECURITYME,3,1)&lt;&gt;"",),IF(OR(INDEX(SEC_SHIP_MEASURESYORN,3,1)="",INDEX(SEC_SHIP_DATEFROM,3,1)="",INDEX(SEC_SHIP_DATETO,3,1)="",INDEX(SEC_SHIP_ACTIVITY,3,1)="",),FALSE,IF(OR(INDEX(SEC_SHIP_LOCATION,3,1)&lt;&gt;"",INDEX(SEC_SHIP_LATITUDE,3,1)&lt;&gt;"",INDEX(SEC_SHIP_LONGITUDE,3,1)&lt;&gt;""),OR(AND(INDEX(SEC_SHIP_LATITUDE,3,1)&lt;&gt;"",INDEX(SEC_SHIP_LONGITUDE,3,1)&lt;&gt;""),AND(INDEX(SEC_SHIP_LATITUDE,3,1)="",INDEX(SEC_SHIP_LONGITUDE,3,1)=""),FALSE))),TRUE)</f>
        <v>1</v>
      </c>
      <c r="B25" t="s">
        <v>1488</v>
      </c>
      <c r="C25" t="s">
        <v>1391</v>
      </c>
      <c r="D25" t="b">
        <f>AND(INDEX(WAS_ITE_DELIVERED,21,1)&lt;&gt;"",INDEX(WAS_ITE_DELIVEREDU,21,1)&lt;&gt;"",INDEX(WAS_ITE_MAXSTORAG,21,1)&lt;&gt;"",INDEX(WAS_ITE_MAXSTORAGU,21,1)&lt;&gt;"",INDEX(WAS_ITE_RETAINED,21,1)&lt;&gt;"",INDEX(WAS_ITE_RETAINEDU,21,1)&lt;&gt;"",INDEX(WAS_ITE_GENERATED,21,1)&lt;&gt;"",INDEX(WAS_ITE_GENERATEDU,21,1)&lt;&gt;"")</f>
        <v>1</v>
      </c>
      <c r="E25" t="s">
        <v>1983</v>
      </c>
      <c r="F25" t="s">
        <v>1391</v>
      </c>
      <c r="G25" t="b">
        <f>IF(OR(INDEX(IHZ_HAZ_CONSIGNMENT,18,1)="",AND(INDEX(IHZ_HAZ_DPGREF,18,1)&lt;&gt;"",INDEX(IHZ_HAZ_CONSIGNMENT,18,1)=INDEX(IHZ_HAZ_CONSIGNMENT,17,1),INDEX(IHZ_HAZ_DPGREF,18,1)=INDEX(IHZ_HAZ_DPGREF,17,1))),TRUE,AND(INDEX(IHZ_HAZ_DGCLASSIFI,18,1)&lt;&gt;"",INDEX(IHZ_HAZ_TEXTUALREF,18,1)&lt;&gt;"",INDEX(IHZ_HAZ_TOTAMOUNT,18,1)&lt;&gt;""))</f>
        <v>1</v>
      </c>
      <c r="H25" t="str">
        <f t="shared" si="0"/>
        <v>Row 18 - All mandatory fields must be given</v>
      </c>
      <c r="I25" t="s">
        <v>1391</v>
      </c>
      <c r="J25" t="b">
        <f>IF(OR(INDEX(OHZ_HAZ_CONSIGNMENT,18,1)="",AND(INDEX(OHZ_HAZ_DPGREF,18,1)&lt;&gt;"",INDEX(OHZ_HAZ_CONSIGNMENT,18,1)=INDEX(OHZ_HAZ_CONSIGNMENT,17,1),INDEX(OHZ_HAZ_DPGREF,18,1)=INDEX(OHZ_HAZ_DPGREF,17,1))),TRUE,AND(INDEX(OHZ_HAZ_DGCLASSIFI,18,1)&lt;&gt;"",INDEX(OHZ_HAZ_TEXTUALREF,18,1)&lt;&gt;"",INDEX(OHZ_HAZ_TOTAMOUNT,18,1)&lt;&gt;""))</f>
        <v>1</v>
      </c>
      <c r="K25" t="str">
        <f t="shared" si="1"/>
        <v>Row 18 - All mandatory fields must be given</v>
      </c>
      <c r="L25" t="s">
        <v>1391</v>
      </c>
      <c r="O25" t="s">
        <v>1391</v>
      </c>
      <c r="T25" t="s">
        <v>1626</v>
      </c>
    </row>
    <row r="26" spans="1:20" x14ac:dyDescent="0.25">
      <c r="A26" t="b">
        <f>IF(OR(INDEX(SEC_SHIP_DATEFROM,4,1)&lt;&gt;"",INDEX(SEC_SHIP_DATETO,4,1)&lt;&gt;"",INDEX(SEC_SHIP_LATITUDE,4,1)&lt;&gt;"",INDEX(SEC_SHIP_LONGITUDE,4,1)&lt;&gt;"",INDEX(SEC_SHIP_LOCATION,4,1)&lt;&gt;"",INDEX(SEC_SHIP_ACTIVITY,4,1)&lt;&gt;"",INDEX(SEC_SHIP_SECURITYME,4,1)&lt;&gt;"",),IF(OR(INDEX(SEC_SHIP_MEASURESYORN,4,1)="",INDEX(SEC_SHIP_DATEFROM,4,1)="",INDEX(SEC_SHIP_DATETO,4,1)="",INDEX(SEC_SHIP_ACTIVITY,4,1)="",),FALSE,IF(OR(INDEX(SEC_SHIP_LOCATION,4,1)&lt;&gt;"",INDEX(SEC_SHIP_LATITUDE,4,1)&lt;&gt;"",INDEX(SEC_SHIP_LONGITUDE,4,1)&lt;&gt;""),OR(AND(INDEX(SEC_SHIP_LATITUDE,4,1)&lt;&gt;"",INDEX(SEC_SHIP_LONGITUDE,4,1)&lt;&gt;""),AND(INDEX(SEC_SHIP_LATITUDE,4,1)="",INDEX(SEC_SHIP_LONGITUDE,4,1)=""),FALSE))),TRUE)</f>
        <v>1</v>
      </c>
      <c r="B26" t="s">
        <v>1489</v>
      </c>
      <c r="C26" t="s">
        <v>1391</v>
      </c>
      <c r="D26" t="b">
        <f>AND(INDEX(WAS_ITE_DELIVERED,22,1)&lt;&gt;"",INDEX(WAS_ITE_DELIVEREDU,22,1)&lt;&gt;"",INDEX(WAS_ITE_MAXSTORAG,22,1)&lt;&gt;"",INDEX(WAS_ITE_MAXSTORAGU,22,1)&lt;&gt;"",INDEX(WAS_ITE_RETAINED,22,1)&lt;&gt;"",INDEX(WAS_ITE_RETAINEDU,22,1)&lt;&gt;"",INDEX(WAS_ITE_GENERATED,22,1)&lt;&gt;"",INDEX(WAS_ITE_GENERATEDU,22,1)&lt;&gt;"")</f>
        <v>1</v>
      </c>
      <c r="E26" t="s">
        <v>1984</v>
      </c>
      <c r="F26" t="s">
        <v>1391</v>
      </c>
      <c r="G26" t="b">
        <f>IF(OR(INDEX(IHZ_HAZ_CONSIGNMENT,19,1)="",AND(INDEX(IHZ_HAZ_DPGREF,19,1)&lt;&gt;"",INDEX(IHZ_HAZ_CONSIGNMENT,19,1)=INDEX(IHZ_HAZ_CONSIGNMENT,18,1),INDEX(IHZ_HAZ_DPGREF,19,1)=INDEX(IHZ_HAZ_DPGREF,18,1))),TRUE,AND(INDEX(IHZ_HAZ_DGCLASSIFI,19,1)&lt;&gt;"",INDEX(IHZ_HAZ_TEXTUALREF,19,1)&lt;&gt;"",INDEX(IHZ_HAZ_TOTAMOUNT,19,1)&lt;&gt;""))</f>
        <v>1</v>
      </c>
      <c r="H26" t="str">
        <f t="shared" si="0"/>
        <v>Row 19 - All mandatory fields must be given</v>
      </c>
      <c r="I26" t="s">
        <v>1391</v>
      </c>
      <c r="J26" t="b">
        <f>IF(OR(INDEX(OHZ_HAZ_CONSIGNMENT,19,1)="",AND(INDEX(OHZ_HAZ_DPGREF,19,1)&lt;&gt;"",INDEX(OHZ_HAZ_CONSIGNMENT,19,1)=INDEX(OHZ_HAZ_CONSIGNMENT,18,1),INDEX(OHZ_HAZ_DPGREF,19,1)=INDEX(OHZ_HAZ_DPGREF,18,1))),TRUE,AND(INDEX(OHZ_HAZ_DGCLASSIFI,19,1)&lt;&gt;"",INDEX(OHZ_HAZ_TEXTUALREF,19,1)&lt;&gt;"",INDEX(OHZ_HAZ_TOTAMOUNT,19,1)&lt;&gt;""))</f>
        <v>1</v>
      </c>
      <c r="K26" t="str">
        <f t="shared" si="1"/>
        <v>Row 19 - All mandatory fields must be given</v>
      </c>
      <c r="L26" t="s">
        <v>1391</v>
      </c>
      <c r="O26" t="s">
        <v>1391</v>
      </c>
      <c r="T26" t="s">
        <v>1627</v>
      </c>
    </row>
    <row r="27" spans="1:20" x14ac:dyDescent="0.25">
      <c r="A27" t="b">
        <f>IF(OR(INDEX(SEC_SHIP_DATEFROM,5,1)&lt;&gt;"",INDEX(SEC_SHIP_DATETO,5,1)&lt;&gt;"",INDEX(SEC_SHIP_LATITUDE,5,1)&lt;&gt;"",INDEX(SEC_SHIP_LONGITUDE,5,1)&lt;&gt;"",INDEX(SEC_SHIP_LOCATION,5,1)&lt;&gt;"",INDEX(SEC_SHIP_ACTIVITY,5,1)&lt;&gt;"",INDEX(SEC_SHIP_SECURITYME,5,1)&lt;&gt;"",),IF(OR(INDEX(SEC_SHIP_MEASURESYORN,5,1)="",INDEX(SEC_SHIP_DATEFROM,5,1)="",INDEX(SEC_SHIP_DATETO,5,1)="",INDEX(SEC_SHIP_ACTIVITY,5,1)="",),FALSE,IF(OR(INDEX(SEC_SHIP_LOCATION,5,1)&lt;&gt;"",INDEX(SEC_SHIP_LATITUDE,5,1)&lt;&gt;"",INDEX(SEC_SHIP_LONGITUDE,5,1)&lt;&gt;""),OR(AND(INDEX(SEC_SHIP_LATITUDE,5,1)&lt;&gt;"",INDEX(SEC_SHIP_LONGITUDE,5,1)&lt;&gt;""),AND(INDEX(SEC_SHIP_LATITUDE,5,1)="",INDEX(SEC_SHIP_LONGITUDE,5,1)=""),FALSE))),TRUE)</f>
        <v>1</v>
      </c>
      <c r="B27" t="s">
        <v>1490</v>
      </c>
      <c r="C27" t="s">
        <v>1391</v>
      </c>
      <c r="D27" t="b">
        <f>AND(INDEX(WAS_ITE_DELIVERED,23,1)&lt;&gt;"",INDEX(WAS_ITE_DELIVEREDU,23,1)&lt;&gt;"",INDEX(WAS_ITE_MAXSTORAG,23,1)&lt;&gt;"",INDEX(WAS_ITE_MAXSTORAGU,23,1)&lt;&gt;"",INDEX(WAS_ITE_RETAINED,23,1)&lt;&gt;"",INDEX(WAS_ITE_RETAINEDU,23,1)&lt;&gt;"",INDEX(WAS_ITE_GENERATED,23,1)&lt;&gt;"",INDEX(WAS_ITE_GENERATEDU,23,1)&lt;&gt;"")</f>
        <v>1</v>
      </c>
      <c r="E27" t="s">
        <v>1984</v>
      </c>
      <c r="F27" t="s">
        <v>1391</v>
      </c>
      <c r="G27" t="b">
        <f>IF(OR(INDEX(IHZ_HAZ_CONSIGNMENT,20,1)="",AND(INDEX(IHZ_HAZ_DPGREF,20,1)&lt;&gt;"",INDEX(IHZ_HAZ_CONSIGNMENT,20,1)=INDEX(IHZ_HAZ_CONSIGNMENT,19,1),INDEX(IHZ_HAZ_DPGREF,20,1)=INDEX(IHZ_HAZ_DPGREF,19,1))),TRUE,AND(INDEX(IHZ_HAZ_DGCLASSIFI,20,1)&lt;&gt;"",INDEX(IHZ_HAZ_TEXTUALREF,20,1)&lt;&gt;"",INDEX(IHZ_HAZ_TOTAMOUNT,20,1)&lt;&gt;""))</f>
        <v>1</v>
      </c>
      <c r="H27" t="str">
        <f t="shared" si="0"/>
        <v>Row 20 - All mandatory fields must be given</v>
      </c>
      <c r="I27" t="s">
        <v>1391</v>
      </c>
      <c r="J27" t="b">
        <f>IF(OR(INDEX(OHZ_HAZ_CONSIGNMENT,20,1)="",AND(INDEX(OHZ_HAZ_DPGREF,20,1)&lt;&gt;"",INDEX(OHZ_HAZ_CONSIGNMENT,20,1)=INDEX(OHZ_HAZ_CONSIGNMENT,19,1),INDEX(OHZ_HAZ_DPGREF,20,1)=INDEX(OHZ_HAZ_DPGREF,19,1))),TRUE,AND(INDEX(OHZ_HAZ_DGCLASSIFI,20,1)&lt;&gt;"",INDEX(OHZ_HAZ_TEXTUALREF,20,1)&lt;&gt;"",INDEX(OHZ_HAZ_TOTAMOUNT,20,1)&lt;&gt;""))</f>
        <v>1</v>
      </c>
      <c r="K27" t="str">
        <f t="shared" si="1"/>
        <v>Row 20 - All mandatory fields must be given</v>
      </c>
      <c r="L27" t="s">
        <v>1391</v>
      </c>
      <c r="O27" t="s">
        <v>1391</v>
      </c>
      <c r="T27" t="s">
        <v>1628</v>
      </c>
    </row>
    <row r="28" spans="1:20" x14ac:dyDescent="0.25">
      <c r="A28" t="b">
        <f>IF(OR(INDEX(SEC_SHIP_DATEFROM,6,1)&lt;&gt;"",INDEX(SEC_SHIP_DATETO,6,1)&lt;&gt;"",INDEX(SEC_SHIP_LATITUDE,6,1)&lt;&gt;"",INDEX(SEC_SHIP_LONGITUDE,6,1)&lt;&gt;"",INDEX(SEC_SHIP_LOCATION,6,1)&lt;&gt;"",INDEX(SEC_SHIP_ACTIVITY,6,1)&lt;&gt;"",INDEX(SEC_SHIP_SECURITYME,6,1)&lt;&gt;"",),IF(OR(INDEX(SEC_SHIP_MEASURESYORN,6,1)="",INDEX(SEC_SHIP_DATEFROM,6,1)="",INDEX(SEC_SHIP_DATETO,6,1)="",INDEX(SEC_SHIP_ACTIVITY,6,1)="",),FALSE,IF(OR(INDEX(SEC_SHIP_LOCATION,6,1)&lt;&gt;"",INDEX(SEC_SHIP_LATITUDE,6,1)&lt;&gt;"",INDEX(SEC_SHIP_LONGITUDE,6,1)&lt;&gt;""),OR(AND(INDEX(SEC_SHIP_LATITUDE,6,1)&lt;&gt;"",INDEX(SEC_SHIP_LONGITUDE,6,1)&lt;&gt;""),AND(INDEX(SEC_SHIP_LATITUDE,6,1)="",INDEX(SEC_SHIP_LONGITUDE,6,1)=""),FALSE))),TRUE)</f>
        <v>1</v>
      </c>
      <c r="B28" t="s">
        <v>1491</v>
      </c>
      <c r="C28" t="s">
        <v>1391</v>
      </c>
      <c r="F28" t="s">
        <v>1391</v>
      </c>
      <c r="G28" t="b">
        <f>IF(OR(INDEX(IHZ_HAZ_CONSIGNMENT,21,1)="",AND(INDEX(IHZ_HAZ_DPGREF,21,1)&lt;&gt;"",INDEX(IHZ_HAZ_CONSIGNMENT,21,1)=INDEX(IHZ_HAZ_CONSIGNMENT,20,1),INDEX(IHZ_HAZ_DPGREF,21,1)=INDEX(IHZ_HAZ_DPGREF,20,1))),TRUE,AND(INDEX(IHZ_HAZ_DGCLASSIFI,21,1)&lt;&gt;"",INDEX(IHZ_HAZ_TEXTUALREF,21,1)&lt;&gt;"",INDEX(IHZ_HAZ_TOTAMOUNT,21,1)&lt;&gt;""))</f>
        <v>1</v>
      </c>
      <c r="H28" t="str">
        <f t="shared" si="0"/>
        <v>Row 21 - All mandatory fields must be given</v>
      </c>
      <c r="I28" t="s">
        <v>1391</v>
      </c>
      <c r="J28" t="b">
        <f>IF(OR(INDEX(OHZ_HAZ_CONSIGNMENT,21,1)="",AND(INDEX(OHZ_HAZ_DPGREF,21,1)&lt;&gt;"",INDEX(OHZ_HAZ_CONSIGNMENT,21,1)=INDEX(OHZ_HAZ_CONSIGNMENT,20,1),INDEX(OHZ_HAZ_DPGREF,21,1)=INDEX(OHZ_HAZ_DPGREF,20,1))),TRUE,AND(INDEX(OHZ_HAZ_DGCLASSIFI,21,1)&lt;&gt;"",INDEX(OHZ_HAZ_TEXTUALREF,21,1)&lt;&gt;"",INDEX(OHZ_HAZ_TOTAMOUNT,21,1)&lt;&gt;""))</f>
        <v>1</v>
      </c>
      <c r="K28" t="str">
        <f t="shared" si="1"/>
        <v>Row 21 - All mandatory fields must be given</v>
      </c>
      <c r="L28" t="s">
        <v>1391</v>
      </c>
      <c r="T28" t="s">
        <v>1629</v>
      </c>
    </row>
    <row r="29" spans="1:20" x14ac:dyDescent="0.25">
      <c r="A29" t="b">
        <f>IF(OR(INDEX(SEC_SHIP_DATEFROM,7,1)&lt;&gt;"",INDEX(SEC_SHIP_DATETO,7,1)&lt;&gt;"",INDEX(SEC_SHIP_LATITUDE,7,1)&lt;&gt;"",INDEX(SEC_SHIP_LONGITUDE,7,1)&lt;&gt;"",INDEX(SEC_SHIP_LOCATION,7,1)&lt;&gt;"",INDEX(SEC_SHIP_ACTIVITY,7,1)&lt;&gt;"",INDEX(SEC_SHIP_SECURITYME,7,1)&lt;&gt;"",),IF(OR(INDEX(SEC_SHIP_MEASURESYORN,7,1)="",INDEX(SEC_SHIP_DATEFROM,7,1)="",INDEX(SEC_SHIP_DATETO,7,1)="",INDEX(SEC_SHIP_ACTIVITY,7,1)="",),FALSE,IF(OR(INDEX(SEC_SHIP_LOCATION,7,1)&lt;&gt;"",INDEX(SEC_SHIP_LATITUDE,7,1)&lt;&gt;"",INDEX(SEC_SHIP_LONGITUDE,7,1)&lt;&gt;""),OR(AND(INDEX(SEC_SHIP_LATITUDE,7,1)&lt;&gt;"",INDEX(SEC_SHIP_LONGITUDE,7,1)&lt;&gt;""),AND(INDEX(SEC_SHIP_LATITUDE,7,1)="",INDEX(SEC_SHIP_LONGITUDE,7,1)=""),FALSE))),TRUE)</f>
        <v>1</v>
      </c>
      <c r="B29" t="s">
        <v>1492</v>
      </c>
      <c r="C29" t="s">
        <v>1391</v>
      </c>
      <c r="D29" t="b">
        <f>AND(INDEX(WAS_ITE_DELIVERED,25,1)&lt;&gt;"",INDEX(WAS_ITE_DELIVEREDU,25,1)&lt;&gt;"",INDEX(WAS_ITE_MAXSTORAG,25,1)&lt;&gt;"",INDEX(WAS_ITE_MAXSTORAGU,25,1)&lt;&gt;"",INDEX(WAS_ITE_RETAINED,25,1)&lt;&gt;"",INDEX(WAS_ITE_RETAINEDU,25,1)&lt;&gt;"",INDEX(WAS_ITE_GENERATED,25,1)&lt;&gt;"",INDEX(WAS_ITE_GENERATEDU,25,1)&lt;&gt;"")</f>
        <v>1</v>
      </c>
      <c r="E29" t="s">
        <v>1985</v>
      </c>
      <c r="F29" t="s">
        <v>1391</v>
      </c>
      <c r="G29" t="b">
        <f>IF(OR(INDEX(IHZ_HAZ_CONSIGNMENT,22,1)="",AND(INDEX(IHZ_HAZ_DPGREF,22,1)&lt;&gt;"",INDEX(IHZ_HAZ_CONSIGNMENT,22,1)=INDEX(IHZ_HAZ_CONSIGNMENT,21,1),INDEX(IHZ_HAZ_DPGREF,22,1)=INDEX(IHZ_HAZ_DPGREF,21,1))),TRUE,AND(INDEX(IHZ_HAZ_DGCLASSIFI,22,1)&lt;&gt;"",INDEX(IHZ_HAZ_TEXTUALREF,22,1)&lt;&gt;"",INDEX(IHZ_HAZ_TOTAMOUNT,22,1)&lt;&gt;""))</f>
        <v>1</v>
      </c>
      <c r="H29" t="str">
        <f t="shared" si="0"/>
        <v>Row 22 - All mandatory fields must be given</v>
      </c>
      <c r="I29" t="s">
        <v>1391</v>
      </c>
      <c r="J29" t="b">
        <f>IF(OR(INDEX(OHZ_HAZ_CONSIGNMENT,22,1)="",AND(INDEX(OHZ_HAZ_DPGREF,22,1)&lt;&gt;"",INDEX(OHZ_HAZ_CONSIGNMENT,22,1)=INDEX(OHZ_HAZ_CONSIGNMENT,21,1),INDEX(OHZ_HAZ_DPGREF,22,1)=INDEX(OHZ_HAZ_DPGREF,21,1))),TRUE,AND(INDEX(OHZ_HAZ_DGCLASSIFI,22,1)&lt;&gt;"",INDEX(OHZ_HAZ_TEXTUALREF,22,1)&lt;&gt;"",INDEX(OHZ_HAZ_TOTAMOUNT,22,1)&lt;&gt;""))</f>
        <v>1</v>
      </c>
      <c r="K29" t="str">
        <f t="shared" si="1"/>
        <v>Row 22 - All mandatory fields must be given</v>
      </c>
      <c r="L29" t="s">
        <v>1391</v>
      </c>
      <c r="T29" t="s">
        <v>1630</v>
      </c>
    </row>
    <row r="30" spans="1:20" x14ac:dyDescent="0.25">
      <c r="A30" t="b">
        <f>IF(OR(INDEX(SEC_SHIP_DATEFROM,8,1)&lt;&gt;"",INDEX(SEC_SHIP_DATETO,8,1)&lt;&gt;"",INDEX(SEC_SHIP_LATITUDE,8,1)&lt;&gt;"",INDEX(SEC_SHIP_LONGITUDE,8,1)&lt;&gt;"",INDEX(SEC_SHIP_LOCATION,8,1)&lt;&gt;"",INDEX(SEC_SHIP_ACTIVITY,8,1)&lt;&gt;"",INDEX(SEC_SHIP_SECURITYME,8,1)&lt;&gt;"",),IF(OR(INDEX(SEC_SHIP_MEASURESYORN,8,1)="",INDEX(SEC_SHIP_DATEFROM,8,1)="",INDEX(SEC_SHIP_DATETO,8,1)="",INDEX(SEC_SHIP_ACTIVITY,8,1)="",),FALSE,IF(OR(INDEX(SEC_SHIP_LOCATION,8,1)&lt;&gt;"",INDEX(SEC_SHIP_LATITUDE,8,1)&lt;&gt;"",INDEX(SEC_SHIP_LONGITUDE,8,1)&lt;&gt;""),OR(AND(INDEX(SEC_SHIP_LATITUDE,8,1)&lt;&gt;"",INDEX(SEC_SHIP_LONGITUDE,8,1)&lt;&gt;""),AND(INDEX(SEC_SHIP_LATITUDE,8,1)="",INDEX(SEC_SHIP_LONGITUDE,8,1)=""),FALSE))),TRUE)</f>
        <v>1</v>
      </c>
      <c r="B30" t="s">
        <v>1493</v>
      </c>
      <c r="C30" t="s">
        <v>1391</v>
      </c>
      <c r="D30" t="b">
        <f>AND(INDEX(WAS_ITE_DELIVERED,26,1)&lt;&gt;"",INDEX(WAS_ITE_DELIVEREDU,26,1)&lt;&gt;"",INDEX(WAS_ITE_MAXSTORAG,26,1)&lt;&gt;"",INDEX(WAS_ITE_MAXSTORAGU,26,1)&lt;&gt;"",INDEX(WAS_ITE_RETAINED,26,1)&lt;&gt;"",INDEX(WAS_ITE_RETAINEDU,26,1)&lt;&gt;"",INDEX(WAS_ITE_GENERATED,26,1)&lt;&gt;"",INDEX(WAS_ITE_GENERATEDU,26,1)&lt;&gt;"")</f>
        <v>1</v>
      </c>
      <c r="E30" t="s">
        <v>1986</v>
      </c>
      <c r="F30" t="s">
        <v>1391</v>
      </c>
      <c r="G30" t="b">
        <f>IF(OR(INDEX(IHZ_HAZ_CONSIGNMENT,23,1)="",AND(INDEX(IHZ_HAZ_DPGREF,23,1)&lt;&gt;"",INDEX(IHZ_HAZ_CONSIGNMENT,23,1)=INDEX(IHZ_HAZ_CONSIGNMENT,22,1),INDEX(IHZ_HAZ_DPGREF,23,1)=INDEX(IHZ_HAZ_DPGREF,22,1))),TRUE,AND(INDEX(IHZ_HAZ_DGCLASSIFI,23,1)&lt;&gt;"",INDEX(IHZ_HAZ_TEXTUALREF,23,1)&lt;&gt;"",INDEX(IHZ_HAZ_TOTAMOUNT,23,1)&lt;&gt;""))</f>
        <v>1</v>
      </c>
      <c r="H30" t="str">
        <f t="shared" si="0"/>
        <v>Row 23 - All mandatory fields must be given</v>
      </c>
      <c r="I30" t="s">
        <v>1391</v>
      </c>
      <c r="J30" t="b">
        <f>IF(OR(INDEX(OHZ_HAZ_CONSIGNMENT,23,1)="",AND(INDEX(OHZ_HAZ_DPGREF,23,1)&lt;&gt;"",INDEX(OHZ_HAZ_CONSIGNMENT,23,1)=INDEX(OHZ_HAZ_CONSIGNMENT,22,1),INDEX(OHZ_HAZ_DPGREF,23,1)=INDEX(OHZ_HAZ_DPGREF,22,1))),TRUE,AND(INDEX(OHZ_HAZ_DGCLASSIFI,23,1)&lt;&gt;"",INDEX(OHZ_HAZ_TEXTUALREF,23,1)&lt;&gt;"",INDEX(OHZ_HAZ_TOTAMOUNT,23,1)&lt;&gt;""))</f>
        <v>1</v>
      </c>
      <c r="K30" t="str">
        <f t="shared" si="1"/>
        <v>Row 23 - All mandatory fields must be given</v>
      </c>
      <c r="L30" t="s">
        <v>1391</v>
      </c>
      <c r="T30" t="s">
        <v>1631</v>
      </c>
    </row>
    <row r="31" spans="1:20" x14ac:dyDescent="0.25">
      <c r="A31" t="b">
        <f>IF(OR(INDEX(SEC_SHIP_DATEFROM,9,1)&lt;&gt;"",INDEX(SEC_SHIP_DATETO,9,1)&lt;&gt;"",INDEX(SEC_SHIP_LATITUDE,9,1)&lt;&gt;"",INDEX(SEC_SHIP_LONGITUDE,9,1)&lt;&gt;"",INDEX(SEC_SHIP_LOCATION,9,1)&lt;&gt;"",INDEX(SEC_SHIP_ACTIVITY,9,1)&lt;&gt;"",INDEX(SEC_SHIP_SECURITYME,9,1)&lt;&gt;"",),IF(OR(INDEX(SEC_SHIP_MEASURESYORN,9,1)="",INDEX(SEC_SHIP_DATEFROM,9,1)="",INDEX(SEC_SHIP_DATETO,9,1)="",INDEX(SEC_SHIP_ACTIVITY,9,1)="",),FALSE,IF(OR(INDEX(SEC_SHIP_LOCATION,9,1)&lt;&gt;"",INDEX(SEC_SHIP_LATITUDE,9,1)&lt;&gt;"",INDEX(SEC_SHIP_LONGITUDE,9,1)&lt;&gt;""),OR(AND(INDEX(SEC_SHIP_LATITUDE,9,1)&lt;&gt;"",INDEX(SEC_SHIP_LONGITUDE,9,1)&lt;&gt;""),AND(INDEX(SEC_SHIP_LATITUDE,9,1)="",INDEX(SEC_SHIP_LONGITUDE,9,1)=""),FALSE))),TRUE)</f>
        <v>1</v>
      </c>
      <c r="B31" t="s">
        <v>1494</v>
      </c>
      <c r="C31" t="s">
        <v>1391</v>
      </c>
      <c r="D31" t="b">
        <f>AND(INDEX(WAS_ITE_DELIVERED,27,1)&lt;&gt;"",INDEX(WAS_ITE_DELIVEREDU,27,1)&lt;&gt;"",INDEX(WAS_ITE_MAXSTORAG,27,1)&lt;&gt;"",INDEX(WAS_ITE_MAXSTORAGU,27,1)&lt;&gt;"",INDEX(WAS_ITE_RETAINED,27,1)&lt;&gt;"",INDEX(WAS_ITE_RETAINEDU,27,1)&lt;&gt;"",INDEX(WAS_ITE_GENERATED,27,1)&lt;&gt;"",INDEX(WAS_ITE_GENERATEDU,27,1)&lt;&gt;"")</f>
        <v>1</v>
      </c>
      <c r="E31" t="s">
        <v>1987</v>
      </c>
      <c r="F31" t="s">
        <v>1391</v>
      </c>
      <c r="G31" t="b">
        <f>IF(OR(INDEX(IHZ_HAZ_CONSIGNMENT,24,1)="",AND(INDEX(IHZ_HAZ_DPGREF,24,1)&lt;&gt;"",INDEX(IHZ_HAZ_CONSIGNMENT,24,1)=INDEX(IHZ_HAZ_CONSIGNMENT,23,1),INDEX(IHZ_HAZ_DPGREF,24,1)=INDEX(IHZ_HAZ_DPGREF,23,1))),TRUE,AND(INDEX(IHZ_HAZ_DGCLASSIFI,24,1)&lt;&gt;"",INDEX(IHZ_HAZ_TEXTUALREF,24,1)&lt;&gt;"",INDEX(IHZ_HAZ_TOTAMOUNT,24,1)&lt;&gt;""))</f>
        <v>1</v>
      </c>
      <c r="H31" t="str">
        <f t="shared" si="0"/>
        <v>Row 24 - All mandatory fields must be given</v>
      </c>
      <c r="I31" t="s">
        <v>1391</v>
      </c>
      <c r="J31" t="b">
        <f>IF(OR(INDEX(OHZ_HAZ_CONSIGNMENT,24,1)="",AND(INDEX(OHZ_HAZ_DPGREF,24,1)&lt;&gt;"",INDEX(OHZ_HAZ_CONSIGNMENT,24,1)=INDEX(OHZ_HAZ_CONSIGNMENT,23,1),INDEX(OHZ_HAZ_DPGREF,24,1)=INDEX(OHZ_HAZ_DPGREF,23,1))),TRUE,AND(INDEX(OHZ_HAZ_DGCLASSIFI,24,1)&lt;&gt;"",INDEX(OHZ_HAZ_TEXTUALREF,24,1)&lt;&gt;"",INDEX(OHZ_HAZ_TOTAMOUNT,24,1)&lt;&gt;""))</f>
        <v>1</v>
      </c>
      <c r="K31" t="str">
        <f t="shared" si="1"/>
        <v>Row 24 - All mandatory fields must be given</v>
      </c>
      <c r="L31" t="s">
        <v>1391</v>
      </c>
      <c r="T31" t="s">
        <v>1632</v>
      </c>
    </row>
    <row r="32" spans="1:20" x14ac:dyDescent="0.25">
      <c r="A32" t="b">
        <f>IF(OR(INDEX(SEC_SHIP_DATEFROM,10,1)&lt;&gt;"",INDEX(SEC_SHIP_DATETO,10,1)&lt;&gt;"",INDEX(SEC_SHIP_LATITUDE,10,1)&lt;&gt;"",INDEX(SEC_SHIP_LONGITUDE,10,1)&lt;&gt;"",INDEX(SEC_SHIP_LOCATION,10,1)&lt;&gt;"",INDEX(SEC_SHIP_ACTIVITY,10,1)&lt;&gt;"",INDEX(SEC_SHIP_SECURITYME,10,1)&lt;&gt;"",),IF(OR(INDEX(SEC_SHIP_MEASURESYORN,10,1)="",INDEX(SEC_SHIP_DATEFROM,10,1)="",INDEX(SEC_SHIP_DATETO,10,1)="",INDEX(SEC_SHIP_ACTIVITY,10,1)="",),FALSE,IF(OR(INDEX(SEC_SHIP_LOCATION,10,1)&lt;&gt;"",INDEX(SEC_SHIP_LATITUDE,10,1)&lt;&gt;"",INDEX(SEC_SHIP_LONGITUDE,10,1)&lt;&gt;""),OR(AND(INDEX(SEC_SHIP_LATITUDE,10,1)&lt;&gt;"",INDEX(SEC_SHIP_LONGITUDE,10,1)&lt;&gt;""),AND(INDEX(SEC_SHIP_LATITUDE,10,1)="",INDEX(SEC_SHIP_LONGITUDE,10,1)=""),FALSE))),TRUE)</f>
        <v>1</v>
      </c>
      <c r="B32" t="s">
        <v>1495</v>
      </c>
      <c r="C32" t="s">
        <v>1391</v>
      </c>
      <c r="F32" t="s">
        <v>1391</v>
      </c>
      <c r="G32" t="b">
        <f>IF(OR(INDEX(IHZ_HAZ_CONSIGNMENT,25,1)="",AND(INDEX(IHZ_HAZ_DPGREF,25,1)&lt;&gt;"",INDEX(IHZ_HAZ_CONSIGNMENT,25,1)=INDEX(IHZ_HAZ_CONSIGNMENT,24,1),INDEX(IHZ_HAZ_DPGREF,25,1)=INDEX(IHZ_HAZ_DPGREF,24,1))),TRUE,AND(INDEX(IHZ_HAZ_DGCLASSIFI,25,1)&lt;&gt;"",INDEX(IHZ_HAZ_TEXTUALREF,25,1)&lt;&gt;"",INDEX(IHZ_HAZ_TOTAMOUNT,25,1)&lt;&gt;""))</f>
        <v>1</v>
      </c>
      <c r="H32" t="str">
        <f t="shared" si="0"/>
        <v>Row 25 - All mandatory fields must be given</v>
      </c>
      <c r="I32" t="s">
        <v>1391</v>
      </c>
      <c r="J32" t="b">
        <f>IF(OR(INDEX(OHZ_HAZ_CONSIGNMENT,25,1)="",AND(INDEX(OHZ_HAZ_DPGREF,25,1)&lt;&gt;"",INDEX(OHZ_HAZ_CONSIGNMENT,25,1)=INDEX(OHZ_HAZ_CONSIGNMENT,24,1),INDEX(OHZ_HAZ_DPGREF,25,1)=INDEX(OHZ_HAZ_DPGREF,24,1))),TRUE,AND(INDEX(OHZ_HAZ_DGCLASSIFI,25,1)&lt;&gt;"",INDEX(OHZ_HAZ_TEXTUALREF,25,1)&lt;&gt;"",INDEX(OHZ_HAZ_TOTAMOUNT,25,1)&lt;&gt;""))</f>
        <v>1</v>
      </c>
      <c r="K32" t="str">
        <f t="shared" si="1"/>
        <v>Row 25 - All mandatory fields must be given</v>
      </c>
      <c r="L32" t="s">
        <v>1391</v>
      </c>
      <c r="T32" t="s">
        <v>1633</v>
      </c>
    </row>
    <row r="33" spans="1:20" x14ac:dyDescent="0.25">
      <c r="C33" t="s">
        <v>1391</v>
      </c>
      <c r="D33" t="b">
        <f>AND(INDEX(WAS_ITE_DELIVERED,29,1)&lt;&gt;"",INDEX(WAS_ITE_DELIVEREDU,29,1)&lt;&gt;"",INDEX(WAS_ITE_MAXSTORAG,29,1)&lt;&gt;"",INDEX(WAS_ITE_MAXSTORAGU,29,1)&lt;&gt;"",INDEX(WAS_ITE_RETAINED,29,1)&lt;&gt;"",INDEX(WAS_ITE_RETAINEDU,29,1)&lt;&gt;"",INDEX(WAS_ITE_GENERATED,29,1)&lt;&gt;"",INDEX(WAS_ITE_GENERATEDU,29,1)&lt;&gt;"")</f>
        <v>1</v>
      </c>
      <c r="E33" t="s">
        <v>1988</v>
      </c>
      <c r="F33" t="s">
        <v>1391</v>
      </c>
      <c r="G33" t="b">
        <f>IF(OR(INDEX(IHZ_HAZ_CONSIGNMENT,26,1)="",AND(INDEX(IHZ_HAZ_DPGREF,26,1)&lt;&gt;"",INDEX(IHZ_HAZ_CONSIGNMENT,26,1)=INDEX(IHZ_HAZ_CONSIGNMENT,25,1),INDEX(IHZ_HAZ_DPGREF,26,1)=INDEX(IHZ_HAZ_DPGREF,25,1))),TRUE,AND(INDEX(IHZ_HAZ_DGCLASSIFI,26,1)&lt;&gt;"",INDEX(IHZ_HAZ_TEXTUALREF,26,1)&lt;&gt;"",INDEX(IHZ_HAZ_TOTAMOUNT,26,1)&lt;&gt;""))</f>
        <v>1</v>
      </c>
      <c r="H33" t="str">
        <f t="shared" si="0"/>
        <v>Row 26 - All mandatory fields must be given</v>
      </c>
      <c r="I33" t="s">
        <v>1391</v>
      </c>
      <c r="J33" t="b">
        <f>IF(OR(INDEX(OHZ_HAZ_CONSIGNMENT,26,1)="",AND(INDEX(OHZ_HAZ_DPGREF,26,1)&lt;&gt;"",INDEX(OHZ_HAZ_CONSIGNMENT,26,1)=INDEX(OHZ_HAZ_CONSIGNMENT,25,1),INDEX(OHZ_HAZ_DPGREF,26,1)=INDEX(OHZ_HAZ_DPGREF,25,1))),TRUE,AND(INDEX(OHZ_HAZ_DGCLASSIFI,26,1)&lt;&gt;"",INDEX(OHZ_HAZ_TEXTUALREF,26,1)&lt;&gt;"",INDEX(OHZ_HAZ_TOTAMOUNT,26,1)&lt;&gt;""))</f>
        <v>1</v>
      </c>
      <c r="K33" t="str">
        <f t="shared" si="1"/>
        <v>Row 26 - All mandatory fields must be given</v>
      </c>
      <c r="L33" t="s">
        <v>1391</v>
      </c>
      <c r="T33" t="s">
        <v>1634</v>
      </c>
    </row>
    <row r="34" spans="1:20" x14ac:dyDescent="0.25">
      <c r="A34" t="b">
        <f>LEN(SEC_AVD_REPSHIPLOC)&lt;256</f>
        <v>1</v>
      </c>
      <c r="B34" t="s">
        <v>1540</v>
      </c>
      <c r="C34" t="s">
        <v>1391</v>
      </c>
      <c r="D34" t="b">
        <f>AND(INDEX(WAS_ITE_DELIVERED,30,1)&lt;&gt;"",INDEX(WAS_ITE_DELIVEREDU,30,1)&lt;&gt;"",INDEX(WAS_ITE_MAXSTORAG,30,1)&lt;&gt;"",INDEX(WAS_ITE_MAXSTORAGU,30,1)&lt;&gt;"",INDEX(WAS_ITE_RETAINED,30,1)&lt;&gt;"",INDEX(WAS_ITE_RETAINEDU,30,1)&lt;&gt;"",INDEX(WAS_ITE_GENERATED,30,1)&lt;&gt;"",INDEX(WAS_ITE_GENERATEDU,30,1)&lt;&gt;"")</f>
        <v>1</v>
      </c>
      <c r="E34" t="s">
        <v>1989</v>
      </c>
      <c r="F34" t="s">
        <v>1391</v>
      </c>
      <c r="G34" t="b">
        <f>IF(OR(INDEX(IHZ_HAZ_CONSIGNMENT,27,1)="",AND(INDEX(IHZ_HAZ_DPGREF,27,1)&lt;&gt;"",INDEX(IHZ_HAZ_CONSIGNMENT,27,1)=INDEX(IHZ_HAZ_CONSIGNMENT,26,1),INDEX(IHZ_HAZ_DPGREF,27,1)=INDEX(IHZ_HAZ_DPGREF,26,1))),TRUE,AND(INDEX(IHZ_HAZ_DGCLASSIFI,27,1)&lt;&gt;"",INDEX(IHZ_HAZ_TEXTUALREF,27,1)&lt;&gt;"",INDEX(IHZ_HAZ_TOTAMOUNT,27,1)&lt;&gt;""))</f>
        <v>1</v>
      </c>
      <c r="H34" t="str">
        <f t="shared" si="0"/>
        <v>Row 27 - All mandatory fields must be given</v>
      </c>
      <c r="I34" t="s">
        <v>1391</v>
      </c>
      <c r="J34" t="b">
        <f>IF(OR(INDEX(OHZ_HAZ_CONSIGNMENT,27,1)="",AND(INDEX(OHZ_HAZ_DPGREF,27,1)&lt;&gt;"",INDEX(OHZ_HAZ_CONSIGNMENT,27,1)=INDEX(OHZ_HAZ_CONSIGNMENT,26,1),INDEX(OHZ_HAZ_DPGREF,27,1)=INDEX(OHZ_HAZ_DPGREF,26,1))),TRUE,AND(INDEX(OHZ_HAZ_DGCLASSIFI,27,1)&lt;&gt;"",INDEX(OHZ_HAZ_TEXTUALREF,27,1)&lt;&gt;"",INDEX(OHZ_HAZ_TOTAMOUNT,27,1)&lt;&gt;""))</f>
        <v>1</v>
      </c>
      <c r="K34" t="str">
        <f t="shared" si="1"/>
        <v>Row 27 - All mandatory fields must be given</v>
      </c>
      <c r="L34" t="s">
        <v>1391</v>
      </c>
      <c r="T34" t="s">
        <v>1635</v>
      </c>
    </row>
    <row r="35" spans="1:20" x14ac:dyDescent="0.25">
      <c r="A35" t="b">
        <f>LEN(SEC_CSO_FIRSTNAME)&lt;50</f>
        <v>1</v>
      </c>
      <c r="B35" t="s">
        <v>1541</v>
      </c>
      <c r="C35" t="s">
        <v>1391</v>
      </c>
      <c r="D35" t="b">
        <f>AND(INDEX(WAS_ITE_DELIVERED,31,1)&lt;&gt;"",INDEX(WAS_ITE_DELIVEREDU,31,1)&lt;&gt;"",INDEX(WAS_ITE_MAXSTORAG,31,1)&lt;&gt;"",INDEX(WAS_ITE_MAXSTORAGU,31,1)&lt;&gt;"",INDEX(WAS_ITE_RETAINED,31,1)&lt;&gt;"",INDEX(WAS_ITE_RETAINEDU,31,1)&lt;&gt;"",INDEX(WAS_ITE_GENERATED,31,1)&lt;&gt;"",INDEX(WAS_ITE_GENERATEDU,31,1)&lt;&gt;"")</f>
        <v>1</v>
      </c>
      <c r="E35" t="s">
        <v>1990</v>
      </c>
      <c r="F35" t="s">
        <v>1391</v>
      </c>
      <c r="G35" t="b">
        <f>IF(OR(INDEX(IHZ_HAZ_CONSIGNMENT,28,1)="",AND(INDEX(IHZ_HAZ_DPGREF,28,1)&lt;&gt;"",INDEX(IHZ_HAZ_CONSIGNMENT,28,1)=INDEX(IHZ_HAZ_CONSIGNMENT,27,1),INDEX(IHZ_HAZ_DPGREF,28,1)=INDEX(IHZ_HAZ_DPGREF,27,1))),TRUE,AND(INDEX(IHZ_HAZ_DGCLASSIFI,28,1)&lt;&gt;"",INDEX(IHZ_HAZ_TEXTUALREF,28,1)&lt;&gt;"",INDEX(IHZ_HAZ_TOTAMOUNT,28,1)&lt;&gt;""))</f>
        <v>1</v>
      </c>
      <c r="H35" t="str">
        <f t="shared" si="0"/>
        <v>Row 28 - All mandatory fields must be given</v>
      </c>
      <c r="I35" t="s">
        <v>1391</v>
      </c>
      <c r="J35" t="b">
        <f>IF(OR(INDEX(OHZ_HAZ_CONSIGNMENT,28,1)="",AND(INDEX(OHZ_HAZ_DPGREF,28,1)&lt;&gt;"",INDEX(OHZ_HAZ_CONSIGNMENT,28,1)=INDEX(OHZ_HAZ_CONSIGNMENT,27,1),INDEX(OHZ_HAZ_DPGREF,28,1)=INDEX(OHZ_HAZ_DPGREF,27,1))),TRUE,AND(INDEX(OHZ_HAZ_DGCLASSIFI,28,1)&lt;&gt;"",INDEX(OHZ_HAZ_TEXTUALREF,28,1)&lt;&gt;"",INDEX(OHZ_HAZ_TOTAMOUNT,28,1)&lt;&gt;""))</f>
        <v>1</v>
      </c>
      <c r="K35" t="str">
        <f t="shared" si="1"/>
        <v>Row 28 - All mandatory fields must be given</v>
      </c>
      <c r="L35" t="s">
        <v>1391</v>
      </c>
      <c r="T35" t="s">
        <v>1636</v>
      </c>
    </row>
    <row r="36" spans="1:20" x14ac:dyDescent="0.25">
      <c r="A36" t="b">
        <f>LEN(SEC_CSO_LASTNAME)&lt;256</f>
        <v>1</v>
      </c>
      <c r="B36" t="s">
        <v>1542</v>
      </c>
      <c r="C36" t="s">
        <v>1391</v>
      </c>
      <c r="D36" t="b">
        <f>AND(INDEX(WAS_ITE_DELIVERED,32,1)&lt;&gt;"",INDEX(WAS_ITE_DELIVEREDU,32,1)&lt;&gt;"",INDEX(WAS_ITE_MAXSTORAG,32,1)&lt;&gt;"",INDEX(WAS_ITE_MAXSTORAGU,32,1)&lt;&gt;"",INDEX(WAS_ITE_RETAINED,32,1)&lt;&gt;"",INDEX(WAS_ITE_RETAINEDU,32,1)&lt;&gt;"",INDEX(WAS_ITE_GENERATED,32,1)&lt;&gt;"",INDEX(WAS_ITE_GENERATEDU,32,1)&lt;&gt;"")</f>
        <v>1</v>
      </c>
      <c r="E36" t="s">
        <v>1991</v>
      </c>
      <c r="F36" t="s">
        <v>1391</v>
      </c>
      <c r="G36" t="b">
        <f>IF(OR(INDEX(IHZ_HAZ_CONSIGNMENT,29,1)="",AND(INDEX(IHZ_HAZ_DPGREF,29,1)&lt;&gt;"",INDEX(IHZ_HAZ_CONSIGNMENT,29,1)=INDEX(IHZ_HAZ_CONSIGNMENT,28,1),INDEX(IHZ_HAZ_DPGREF,29,1)=INDEX(IHZ_HAZ_DPGREF,28,1))),TRUE,AND(INDEX(IHZ_HAZ_DGCLASSIFI,29,1)&lt;&gt;"",INDEX(IHZ_HAZ_TEXTUALREF,29,1)&lt;&gt;"",INDEX(IHZ_HAZ_TOTAMOUNT,29,1)&lt;&gt;""))</f>
        <v>1</v>
      </c>
      <c r="H36" t="str">
        <f t="shared" si="0"/>
        <v>Row 29 - All mandatory fields must be given</v>
      </c>
      <c r="I36" t="s">
        <v>1391</v>
      </c>
      <c r="J36" t="b">
        <f>IF(OR(INDEX(OHZ_HAZ_CONSIGNMENT,29,1)="",AND(INDEX(OHZ_HAZ_DPGREF,29,1)&lt;&gt;"",INDEX(OHZ_HAZ_CONSIGNMENT,29,1)=INDEX(OHZ_HAZ_CONSIGNMENT,28,1),INDEX(OHZ_HAZ_DPGREF,29,1)=INDEX(OHZ_HAZ_DPGREF,28,1))),TRUE,AND(INDEX(OHZ_HAZ_DGCLASSIFI,29,1)&lt;&gt;"",INDEX(OHZ_HAZ_TEXTUALREF,29,1)&lt;&gt;"",INDEX(OHZ_HAZ_TOTAMOUNT,29,1)&lt;&gt;""))</f>
        <v>1</v>
      </c>
      <c r="K36" t="str">
        <f t="shared" si="1"/>
        <v>Row 29 - All mandatory fields must be given</v>
      </c>
      <c r="L36" t="s">
        <v>1391</v>
      </c>
      <c r="T36" t="s">
        <v>1637</v>
      </c>
    </row>
    <row r="37" spans="1:20" x14ac:dyDescent="0.25">
      <c r="A37" t="b">
        <f ca="1">OR(AND(ISNUMBER(SUMPRODUCT(SEARCH(MID(SEC_CSO_PHONE,ROW(INDIRECT("1:"&amp;LEN(SEC_CSO_PHONE))),1),"0123456789+"))),LEN(SEC_CSO_PHONE)&lt;=16),SEC_CSO_PHONE="")</f>
        <v>1</v>
      </c>
      <c r="B37" t="s">
        <v>1543</v>
      </c>
      <c r="D37" t="b">
        <f>AND(INDEX(WAS_ITE_DELIVERED,33,1)&lt;&gt;"",INDEX(WAS_ITE_DELIVEREDU,33,1)&lt;&gt;"",INDEX(WAS_ITE_MAXSTORAG,33,1)&lt;&gt;"",INDEX(WAS_ITE_MAXSTORAGU,33,1)&lt;&gt;"",INDEX(WAS_ITE_RETAINED,33,1)&lt;&gt;"",INDEX(WAS_ITE_RETAINEDU,33,1)&lt;&gt;"",INDEX(WAS_ITE_GENERATED,33,1)&lt;&gt;"",INDEX(WAS_ITE_GENERATEDU,33,1)&lt;&gt;"")</f>
        <v>1</v>
      </c>
      <c r="E37" t="s">
        <v>1992</v>
      </c>
      <c r="F37" t="s">
        <v>1391</v>
      </c>
      <c r="G37" t="b">
        <f>IF(OR(INDEX(IHZ_HAZ_CONSIGNMENT,30,1)="",AND(INDEX(IHZ_HAZ_DPGREF,30,1)&lt;&gt;"",INDEX(IHZ_HAZ_CONSIGNMENT,30,1)=INDEX(IHZ_HAZ_CONSIGNMENT,29,1),INDEX(IHZ_HAZ_DPGREF,30,1)=INDEX(IHZ_HAZ_DPGREF,29,1))),TRUE,AND(INDEX(IHZ_HAZ_DGCLASSIFI,30,1)&lt;&gt;"",INDEX(IHZ_HAZ_TEXTUALREF,30,1)&lt;&gt;"",INDEX(IHZ_HAZ_TOTAMOUNT,30,1)&lt;&gt;""))</f>
        <v>1</v>
      </c>
      <c r="H37" t="str">
        <f t="shared" si="0"/>
        <v>Row 30 - All mandatory fields must be given</v>
      </c>
      <c r="I37" t="s">
        <v>1391</v>
      </c>
      <c r="J37" t="b">
        <f>IF(OR(INDEX(OHZ_HAZ_CONSIGNMENT,30,1)="",AND(INDEX(OHZ_HAZ_DPGREF,30,1)&lt;&gt;"",INDEX(OHZ_HAZ_CONSIGNMENT,30,1)=INDEX(OHZ_HAZ_CONSIGNMENT,29,1),INDEX(OHZ_HAZ_DPGREF,30,1)=INDEX(OHZ_HAZ_DPGREF,29,1))),TRUE,AND(INDEX(OHZ_HAZ_DGCLASSIFI,30,1)&lt;&gt;"",INDEX(OHZ_HAZ_TEXTUALREF,30,1)&lt;&gt;"",INDEX(OHZ_HAZ_TOTAMOUNT,30,1)&lt;&gt;""))</f>
        <v>1</v>
      </c>
      <c r="K37" t="str">
        <f t="shared" si="1"/>
        <v>Row 30 - All mandatory fields must be given</v>
      </c>
      <c r="L37" t="s">
        <v>1391</v>
      </c>
      <c r="T37" t="s">
        <v>1638</v>
      </c>
    </row>
    <row r="38" spans="1:20" x14ac:dyDescent="0.25">
      <c r="A38" t="b">
        <f ca="1">OR(AND(ISNUMBER(SUMPRODUCT(SEARCH(MID(SEC_CSO_FAX,ROW(INDIRECT("1:"&amp;LEN(SEC_CSO_FAX))),1),"0123456789+"))),LEN(SEC_CSO_FAX)&lt;=16),SEC_CSO_FAX="")</f>
        <v>1</v>
      </c>
      <c r="B38" t="s">
        <v>1544</v>
      </c>
      <c r="D38" t="b">
        <f>AND(INDEX(WAS_ITE_DELIVERED,34,1)&lt;&gt;"",INDEX(WAS_ITE_DELIVEREDU,34,1)&lt;&gt;"",INDEX(WAS_ITE_MAXSTORAG,34,1)&lt;&gt;"",INDEX(WAS_ITE_MAXSTORAGU,34,1)&lt;&gt;"",INDEX(WAS_ITE_RETAINED,34,1)&lt;&gt;"",INDEX(WAS_ITE_RETAINEDU,34,1)&lt;&gt;"",INDEX(WAS_ITE_GENERATED,34,1)&lt;&gt;"",INDEX(WAS_ITE_GENERATEDU,34,1)&lt;&gt;"")</f>
        <v>1</v>
      </c>
      <c r="E38" t="s">
        <v>1993</v>
      </c>
      <c r="F38" t="s">
        <v>1391</v>
      </c>
      <c r="G38" t="b">
        <f>IF(OR(INDEX(IHZ_HAZ_CONSIGNMENT,31,1)="",AND(INDEX(IHZ_HAZ_DPGREF,31,1)&lt;&gt;"",INDEX(IHZ_HAZ_CONSIGNMENT,31,1)=INDEX(IHZ_HAZ_CONSIGNMENT,30,1),INDEX(IHZ_HAZ_DPGREF,31,1)=INDEX(IHZ_HAZ_DPGREF,30,1))),TRUE,AND(INDEX(IHZ_HAZ_DGCLASSIFI,31,1)&lt;&gt;"",INDEX(IHZ_HAZ_TEXTUALREF,31,1)&lt;&gt;"",INDEX(IHZ_HAZ_TOTAMOUNT,31,1)&lt;&gt;""))</f>
        <v>1</v>
      </c>
      <c r="H38" t="str">
        <f t="shared" si="0"/>
        <v>Row 31 - All mandatory fields must be given</v>
      </c>
      <c r="I38" t="s">
        <v>1391</v>
      </c>
      <c r="J38" t="b">
        <f>IF(OR(INDEX(OHZ_HAZ_CONSIGNMENT,31,1)="",AND(INDEX(OHZ_HAZ_DPGREF,31,1)&lt;&gt;"",INDEX(OHZ_HAZ_CONSIGNMENT,31,1)=INDEX(OHZ_HAZ_CONSIGNMENT,30,1),INDEX(OHZ_HAZ_DPGREF,31,1)=INDEX(OHZ_HAZ_DPGREF,30,1))),TRUE,AND(INDEX(OHZ_HAZ_DGCLASSIFI,31,1)&lt;&gt;"",INDEX(OHZ_HAZ_TEXTUALREF,31,1)&lt;&gt;"",INDEX(OHZ_HAZ_TOTAMOUNT,31,1)&lt;&gt;""))</f>
        <v>1</v>
      </c>
      <c r="K38" t="str">
        <f t="shared" si="1"/>
        <v>Row 31 - All mandatory fields must be given</v>
      </c>
      <c r="L38" t="s">
        <v>1391</v>
      </c>
      <c r="T38" t="s">
        <v>1639</v>
      </c>
    </row>
    <row r="39" spans="1:20" x14ac:dyDescent="0.25">
      <c r="A39" t="b">
        <f>IF(OR(ISBLANK(SEC_CSO_EMAIL),AND(NOT(ISERROR(SEARCH("@",SEC_CSO_EMAIL))),ISERROR(SEARCH(" ",SEC_CSO_EMAIL)),LEN(SEC_CSO_EMAIL)&lt;=50)),TRUE(),FALSE())</f>
        <v>1</v>
      </c>
      <c r="B39" t="s">
        <v>1545</v>
      </c>
      <c r="D39" t="b">
        <f>AND(INDEX(WAS_ITE_DELIVERED,35,1)&lt;&gt;"",INDEX(WAS_ITE_DELIVEREDU,35,1)&lt;&gt;"",INDEX(WAS_ITE_MAXSTORAG,35,1)&lt;&gt;"",INDEX(WAS_ITE_MAXSTORAGU,35,1)&lt;&gt;"",INDEX(WAS_ITE_RETAINED,35,1)&lt;&gt;"",INDEX(WAS_ITE_RETAINEDU,35,1)&lt;&gt;"",INDEX(WAS_ITE_GENERATED,35,1)&lt;&gt;"",INDEX(WAS_ITE_GENERATEDU,35,1)&lt;&gt;"")</f>
        <v>1</v>
      </c>
      <c r="E39" t="s">
        <v>1994</v>
      </c>
      <c r="F39" t="s">
        <v>1391</v>
      </c>
      <c r="G39" t="b">
        <f>IF(OR(INDEX(IHZ_HAZ_CONSIGNMENT,32,1)="",AND(INDEX(IHZ_HAZ_DPGREF,32,1)&lt;&gt;"",INDEX(IHZ_HAZ_CONSIGNMENT,32,1)=INDEX(IHZ_HAZ_CONSIGNMENT,31,1),INDEX(IHZ_HAZ_DPGREF,32,1)=INDEX(IHZ_HAZ_DPGREF,31,1))),TRUE,AND(INDEX(IHZ_HAZ_DGCLASSIFI,32,1)&lt;&gt;"",INDEX(IHZ_HAZ_TEXTUALREF,32,1)&lt;&gt;"",INDEX(IHZ_HAZ_TOTAMOUNT,32,1)&lt;&gt;""))</f>
        <v>1</v>
      </c>
      <c r="H39" t="str">
        <f t="shared" si="0"/>
        <v>Row 32 - All mandatory fields must be given</v>
      </c>
      <c r="I39" t="s">
        <v>1391</v>
      </c>
      <c r="J39" t="b">
        <f>IF(OR(INDEX(OHZ_HAZ_CONSIGNMENT,32,1)="",AND(INDEX(OHZ_HAZ_DPGREF,32,1)&lt;&gt;"",INDEX(OHZ_HAZ_CONSIGNMENT,32,1)=INDEX(OHZ_HAZ_CONSIGNMENT,31,1),INDEX(OHZ_HAZ_DPGREF,32,1)=INDEX(OHZ_HAZ_DPGREF,31,1))),TRUE,AND(INDEX(OHZ_HAZ_DGCLASSIFI,32,1)&lt;&gt;"",INDEX(OHZ_HAZ_TEXTUALREF,32,1)&lt;&gt;"",INDEX(OHZ_HAZ_TOTAMOUNT,32,1)&lt;&gt;""))</f>
        <v>1</v>
      </c>
      <c r="K39" t="str">
        <f t="shared" si="1"/>
        <v>Row 32 - All mandatory fields must be given</v>
      </c>
      <c r="L39" t="s">
        <v>1391</v>
      </c>
      <c r="T39" t="s">
        <v>1640</v>
      </c>
    </row>
    <row r="40" spans="1:20" x14ac:dyDescent="0.25">
      <c r="A40" t="b">
        <f>LEN(SEC_AGENT_NAME)&lt;51</f>
        <v>1</v>
      </c>
      <c r="B40" t="s">
        <v>1546</v>
      </c>
      <c r="D40" t="b">
        <f>AND(INDEX(WAS_ITE_DELIVERED,36,1)&lt;&gt;"",INDEX(WAS_ITE_DELIVEREDU,36,1)&lt;&gt;"",INDEX(WAS_ITE_MAXSTORAG,36,1)&lt;&gt;"",INDEX(WAS_ITE_MAXSTORAGU,36,1)&lt;&gt;"",INDEX(WAS_ITE_RETAINED,36,1)&lt;&gt;"",INDEX(WAS_ITE_RETAINEDU,36,1)&lt;&gt;"",INDEX(WAS_ITE_GENERATED,36,1)&lt;&gt;"",INDEX(WAS_ITE_GENERATEDU,36,1)&lt;&gt;"")</f>
        <v>1</v>
      </c>
      <c r="E40" t="s">
        <v>1995</v>
      </c>
      <c r="F40" t="s">
        <v>1391</v>
      </c>
      <c r="G40" t="b">
        <f>IF(OR(INDEX(IHZ_HAZ_CONSIGNMENT,33,1)="",AND(INDEX(IHZ_HAZ_DPGREF,33,1)&lt;&gt;"",INDEX(IHZ_HAZ_CONSIGNMENT,33,1)=INDEX(IHZ_HAZ_CONSIGNMENT,32,1),INDEX(IHZ_HAZ_DPGREF,33,1)=INDEX(IHZ_HAZ_DPGREF,32,1))),TRUE,AND(INDEX(IHZ_HAZ_DGCLASSIFI,33,1)&lt;&gt;"",INDEX(IHZ_HAZ_TEXTUALREF,33,1)&lt;&gt;"",INDEX(IHZ_HAZ_TOTAMOUNT,33,1)&lt;&gt;""))</f>
        <v>1</v>
      </c>
      <c r="H40" t="str">
        <f t="shared" si="0"/>
        <v>Row 33 - All mandatory fields must be given</v>
      </c>
      <c r="I40" t="s">
        <v>1391</v>
      </c>
      <c r="J40" t="b">
        <f>IF(OR(INDEX(OHZ_HAZ_CONSIGNMENT,33,1)="",AND(INDEX(OHZ_HAZ_DPGREF,33,1)&lt;&gt;"",INDEX(OHZ_HAZ_CONSIGNMENT,33,1)=INDEX(OHZ_HAZ_CONSIGNMENT,32,1),INDEX(OHZ_HAZ_DPGREF,33,1)=INDEX(OHZ_HAZ_DPGREF,32,1))),TRUE,AND(INDEX(OHZ_HAZ_DGCLASSIFI,33,1)&lt;&gt;"",INDEX(OHZ_HAZ_TEXTUALREF,33,1)&lt;&gt;"",INDEX(OHZ_HAZ_TOTAMOUNT,33,1)&lt;&gt;""))</f>
        <v>1</v>
      </c>
      <c r="K40" t="str">
        <f t="shared" si="1"/>
        <v>Row 33 - All mandatory fields must be given</v>
      </c>
      <c r="L40" t="s">
        <v>1391</v>
      </c>
      <c r="T40" t="s">
        <v>1641</v>
      </c>
    </row>
    <row r="41" spans="1:20" x14ac:dyDescent="0.25">
      <c r="A41" t="b">
        <f ca="1">OR(AND(ISNUMBER(SUMPRODUCT(SEARCH(MID(SEC_AGENT_PHONE,ROW(INDIRECT("1:"&amp;LEN(SEC_AGENT_PHONE))),1),"0123456789+"))),LEN(SEC_AGENT_PHONE)&lt;=16),SEC_AGENT_PHONE="")</f>
        <v>1</v>
      </c>
      <c r="B41" t="s">
        <v>1547</v>
      </c>
      <c r="D41" t="b">
        <f>AND(INDEX(WAS_ITE_DELIVERED,37,1)&lt;&gt;"",INDEX(WAS_ITE_DELIVEREDU,37,1)&lt;&gt;"",INDEX(WAS_ITE_MAXSTORAG,37,1)&lt;&gt;"",INDEX(WAS_ITE_MAXSTORAGU,37,1)&lt;&gt;"",INDEX(WAS_ITE_RETAINED,37,1)&lt;&gt;"",INDEX(WAS_ITE_RETAINEDU,37,1)&lt;&gt;"",INDEX(WAS_ITE_GENERATED,37,1)&lt;&gt;"",INDEX(WAS_ITE_GENERATEDU,37,1)&lt;&gt;"")</f>
        <v>1</v>
      </c>
      <c r="E41" t="s">
        <v>1996</v>
      </c>
      <c r="F41" t="s">
        <v>1391</v>
      </c>
      <c r="G41" t="b">
        <f>IF(OR(INDEX(IHZ_HAZ_CONSIGNMENT,34,1)="",AND(INDEX(IHZ_HAZ_DPGREF,34,1)&lt;&gt;"",INDEX(IHZ_HAZ_CONSIGNMENT,34,1)=INDEX(IHZ_HAZ_CONSIGNMENT,33,1),INDEX(IHZ_HAZ_DPGREF,34,1)=INDEX(IHZ_HAZ_DPGREF,33,1))),TRUE,AND(INDEX(IHZ_HAZ_DGCLASSIFI,34,1)&lt;&gt;"",INDEX(IHZ_HAZ_TEXTUALREF,34,1)&lt;&gt;"",INDEX(IHZ_HAZ_TOTAMOUNT,34,1)&lt;&gt;""))</f>
        <v>1</v>
      </c>
      <c r="H41" t="str">
        <f t="shared" si="0"/>
        <v>Row 34 - All mandatory fields must be given</v>
      </c>
      <c r="I41" t="s">
        <v>1391</v>
      </c>
      <c r="J41" t="b">
        <f>IF(OR(INDEX(OHZ_HAZ_CONSIGNMENT,34,1)="",AND(INDEX(OHZ_HAZ_DPGREF,34,1)&lt;&gt;"",INDEX(OHZ_HAZ_CONSIGNMENT,34,1)=INDEX(OHZ_HAZ_CONSIGNMENT,33,1),INDEX(OHZ_HAZ_DPGREF,34,1)=INDEX(OHZ_HAZ_DPGREF,33,1))),TRUE,AND(INDEX(OHZ_HAZ_DGCLASSIFI,34,1)&lt;&gt;"",INDEX(OHZ_HAZ_TEXTUALREF,34,1)&lt;&gt;"",INDEX(OHZ_HAZ_TOTAMOUNT,34,1)&lt;&gt;""))</f>
        <v>1</v>
      </c>
      <c r="K41" t="str">
        <f t="shared" si="1"/>
        <v>Row 34 - All mandatory fields must be given</v>
      </c>
      <c r="L41" t="s">
        <v>1391</v>
      </c>
      <c r="T41" t="s">
        <v>1642</v>
      </c>
    </row>
    <row r="42" spans="1:20" x14ac:dyDescent="0.25">
      <c r="A42" t="b">
        <f ca="1">OR(AND(ISNUMBER(SUMPRODUCT(SEARCH(MID(SEC_AGENT_FAX,ROW(INDIRECT("1:"&amp;LEN(SEC_AGENT_FAX))),1),"0123456789+"))),LEN(SEC_AGENT_FAX)&lt;=16),SEC_AGENT_FAX="")</f>
        <v>1</v>
      </c>
      <c r="B42" t="s">
        <v>1548</v>
      </c>
      <c r="D42" t="b">
        <f>AND(INDEX(WAS_ITE_DELIVERED,38,1)&lt;&gt;"",INDEX(WAS_ITE_DELIVEREDU,38,1)&lt;&gt;"",INDEX(WAS_ITE_MAXSTORAG,38,1)&lt;&gt;"",INDEX(WAS_ITE_MAXSTORAGU,38,1)&lt;&gt;"",INDEX(WAS_ITE_RETAINED,38,1)&lt;&gt;"",INDEX(WAS_ITE_RETAINEDU,38,1)&lt;&gt;"",INDEX(WAS_ITE_GENERATED,38,1)&lt;&gt;"",INDEX(WAS_ITE_GENERATEDU,38,1)&lt;&gt;"")</f>
        <v>1</v>
      </c>
      <c r="E42" t="s">
        <v>1997</v>
      </c>
      <c r="F42" t="s">
        <v>1391</v>
      </c>
      <c r="G42" t="b">
        <f>IF(OR(INDEX(IHZ_HAZ_CONSIGNMENT,35,1)="",AND(INDEX(IHZ_HAZ_DPGREF,35,1)&lt;&gt;"",INDEX(IHZ_HAZ_CONSIGNMENT,35,1)=INDEX(IHZ_HAZ_CONSIGNMENT,34,1),INDEX(IHZ_HAZ_DPGREF,35,1)=INDEX(IHZ_HAZ_DPGREF,34,1))),TRUE,AND(INDEX(IHZ_HAZ_DGCLASSIFI,35,1)&lt;&gt;"",INDEX(IHZ_HAZ_TEXTUALREF,35,1)&lt;&gt;"",INDEX(IHZ_HAZ_TOTAMOUNT,35,1)&lt;&gt;""))</f>
        <v>1</v>
      </c>
      <c r="H42" t="str">
        <f t="shared" si="0"/>
        <v>Row 35 - All mandatory fields must be given</v>
      </c>
      <c r="I42" t="s">
        <v>1391</v>
      </c>
      <c r="J42" t="b">
        <f>IF(OR(INDEX(OHZ_HAZ_CONSIGNMENT,35,1)="",AND(INDEX(OHZ_HAZ_DPGREF,35,1)&lt;&gt;"",INDEX(OHZ_HAZ_CONSIGNMENT,35,1)=INDEX(OHZ_HAZ_CONSIGNMENT,34,1),INDEX(OHZ_HAZ_DPGREF,35,1)=INDEX(OHZ_HAZ_DPGREF,34,1))),TRUE,AND(INDEX(OHZ_HAZ_DGCLASSIFI,35,1)&lt;&gt;"",INDEX(OHZ_HAZ_TEXTUALREF,35,1)&lt;&gt;"",INDEX(OHZ_HAZ_TOTAMOUNT,35,1)&lt;&gt;""))</f>
        <v>1</v>
      </c>
      <c r="K42" t="str">
        <f t="shared" si="1"/>
        <v>Row 35 - All mandatory fields must be given</v>
      </c>
      <c r="L42" t="s">
        <v>1391</v>
      </c>
      <c r="T42" t="s">
        <v>1643</v>
      </c>
    </row>
    <row r="43" spans="1:20" x14ac:dyDescent="0.25">
      <c r="A43" t="b">
        <f>IF(OR(ISBLANK(SEC_AGENT_EMAIL),AND(NOT(ISERROR(SEARCH("@",SEC_AGENT_EMAIL))),ISERROR(SEARCH(" ",SEC_AGENT_EMAIL)),LEN(SEC_AGENT_EMAIL)&lt;=50)),TRUE(),FALSE())</f>
        <v>1</v>
      </c>
      <c r="B43" t="s">
        <v>1549</v>
      </c>
      <c r="D43" t="b">
        <f>AND(INDEX(WAS_ITE_DELIVERED,39,1)&lt;&gt;"",INDEX(WAS_ITE_DELIVEREDU,39,1)&lt;&gt;"",INDEX(WAS_ITE_MAXSTORAG,39,1)&lt;&gt;"",INDEX(WAS_ITE_MAXSTORAGU,39,1)&lt;&gt;"",INDEX(WAS_ITE_RETAINED,39,1)&lt;&gt;"",INDEX(WAS_ITE_RETAINEDU,39,1)&lt;&gt;"",INDEX(WAS_ITE_GENERATED,39,1)&lt;&gt;"",INDEX(WAS_ITE_GENERATEDU,39,1)&lt;&gt;"")</f>
        <v>1</v>
      </c>
      <c r="E43" t="s">
        <v>1998</v>
      </c>
      <c r="F43" t="s">
        <v>1391</v>
      </c>
      <c r="G43" t="b">
        <f>IF(OR(INDEX(IHZ_HAZ_CONSIGNMENT,36,1)="",AND(INDEX(IHZ_HAZ_DPGREF,36,1)&lt;&gt;"",INDEX(IHZ_HAZ_CONSIGNMENT,36,1)=INDEX(IHZ_HAZ_CONSIGNMENT,35,1),INDEX(IHZ_HAZ_DPGREF,36,1)=INDEX(IHZ_HAZ_DPGREF,35,1))),TRUE,AND(INDEX(IHZ_HAZ_DGCLASSIFI,36,1)&lt;&gt;"",INDEX(IHZ_HAZ_TEXTUALREF,36,1)&lt;&gt;"",INDEX(IHZ_HAZ_TOTAMOUNT,36,1)&lt;&gt;""))</f>
        <v>1</v>
      </c>
      <c r="H43" t="str">
        <f t="shared" si="0"/>
        <v>Row 36 - All mandatory fields must be given</v>
      </c>
      <c r="I43" t="s">
        <v>1391</v>
      </c>
      <c r="J43" t="b">
        <f>IF(OR(INDEX(OHZ_HAZ_CONSIGNMENT,36,1)="",AND(INDEX(OHZ_HAZ_DPGREF,36,1)&lt;&gt;"",INDEX(OHZ_HAZ_CONSIGNMENT,36,1)=INDEX(OHZ_HAZ_CONSIGNMENT,35,1),INDEX(OHZ_HAZ_DPGREF,36,1)=INDEX(OHZ_HAZ_DPGREF,35,1))),TRUE,AND(INDEX(OHZ_HAZ_DGCLASSIFI,36,1)&lt;&gt;"",INDEX(OHZ_HAZ_TEXTUALREF,36,1)&lt;&gt;"",INDEX(OHZ_HAZ_TOTAMOUNT,36,1)&lt;&gt;""))</f>
        <v>1</v>
      </c>
      <c r="K43" t="str">
        <f t="shared" si="1"/>
        <v>Row 36 - All mandatory fields must be given</v>
      </c>
      <c r="L43" t="s">
        <v>1391</v>
      </c>
      <c r="T43" t="s">
        <v>1644</v>
      </c>
    </row>
    <row r="44" spans="1:20" x14ac:dyDescent="0.25">
      <c r="A44" t="b">
        <f>OR(SEC_ISSC_TYPE="",COUNTIF(ISSC_types,SEC_ISSC_TYPE)=1)</f>
        <v>1</v>
      </c>
      <c r="B44" t="s">
        <v>1550</v>
      </c>
      <c r="D44" t="b">
        <f>AND(INDEX(WAS_ITE_DELIVERED,40,1)&lt;&gt;"",INDEX(WAS_ITE_DELIVEREDU,40,1)&lt;&gt;"",INDEX(WAS_ITE_MAXSTORAG,40,1)&lt;&gt;"",INDEX(WAS_ITE_MAXSTORAGU,40,1)&lt;&gt;"",INDEX(WAS_ITE_RETAINED,40,1)&lt;&gt;"",INDEX(WAS_ITE_RETAINEDU,40,1)&lt;&gt;"",INDEX(WAS_ITE_GENERATED,40,1)&lt;&gt;"",INDEX(WAS_ITE_GENERATEDU,40,1)&lt;&gt;"")</f>
        <v>1</v>
      </c>
      <c r="E44" t="s">
        <v>1999</v>
      </c>
      <c r="F44" t="s">
        <v>1391</v>
      </c>
      <c r="G44" t="b">
        <f>IF(OR(INDEX(IHZ_HAZ_CONSIGNMENT,37,1)="",AND(INDEX(IHZ_HAZ_DPGREF,37,1)&lt;&gt;"",INDEX(IHZ_HAZ_CONSIGNMENT,37,1)=INDEX(IHZ_HAZ_CONSIGNMENT,36,1),INDEX(IHZ_HAZ_DPGREF,37,1)=INDEX(IHZ_HAZ_DPGREF,36,1))),TRUE,AND(INDEX(IHZ_HAZ_DGCLASSIFI,37,1)&lt;&gt;"",INDEX(IHZ_HAZ_TEXTUALREF,37,1)&lt;&gt;"",INDEX(IHZ_HAZ_TOTAMOUNT,37,1)&lt;&gt;""))</f>
        <v>1</v>
      </c>
      <c r="H44" t="str">
        <f t="shared" si="0"/>
        <v>Row 37 - All mandatory fields must be given</v>
      </c>
      <c r="I44" t="s">
        <v>1391</v>
      </c>
      <c r="J44" t="b">
        <f>IF(OR(INDEX(OHZ_HAZ_CONSIGNMENT,37,1)="",AND(INDEX(OHZ_HAZ_DPGREF,37,1)&lt;&gt;"",INDEX(OHZ_HAZ_CONSIGNMENT,37,1)=INDEX(OHZ_HAZ_CONSIGNMENT,36,1),INDEX(OHZ_HAZ_DPGREF,37,1)=INDEX(OHZ_HAZ_DPGREF,36,1))),TRUE,AND(INDEX(OHZ_HAZ_DGCLASSIFI,37,1)&lt;&gt;"",INDEX(OHZ_HAZ_TEXTUALREF,37,1)&lt;&gt;"",INDEX(OHZ_HAZ_TOTAMOUNT,37,1)&lt;&gt;""))</f>
        <v>1</v>
      </c>
      <c r="K44" t="str">
        <f t="shared" si="1"/>
        <v>Row 37 - All mandatory fields must be given</v>
      </c>
      <c r="L44" t="s">
        <v>1391</v>
      </c>
      <c r="T44" t="s">
        <v>1645</v>
      </c>
    </row>
    <row r="45" spans="1:20" x14ac:dyDescent="0.25">
      <c r="A45" t="b">
        <f>LEN(SEC_ISSC_NUMBER)&lt;36</f>
        <v>1</v>
      </c>
      <c r="B45" t="s">
        <v>1551</v>
      </c>
      <c r="D45" t="b">
        <f>AND(INDEX(WAS_ITE_DELIVERED,41,1)&lt;&gt;"",INDEX(WAS_ITE_DELIVEREDU,41,1)&lt;&gt;"",INDEX(WAS_ITE_MAXSTORAG,41,1)&lt;&gt;"",INDEX(WAS_ITE_MAXSTORAGU,41,1)&lt;&gt;"",INDEX(WAS_ITE_RETAINED,41,1)&lt;&gt;"",INDEX(WAS_ITE_RETAINEDU,41,1)&lt;&gt;"",INDEX(WAS_ITE_GENERATED,41,1)&lt;&gt;"",INDEX(WAS_ITE_GENERATEDU,41,1)&lt;&gt;"")</f>
        <v>1</v>
      </c>
      <c r="E45" t="s">
        <v>2000</v>
      </c>
      <c r="F45" t="s">
        <v>1391</v>
      </c>
      <c r="G45" t="b">
        <f>IF(OR(INDEX(IHZ_HAZ_CONSIGNMENT,38,1)="",AND(INDEX(IHZ_HAZ_DPGREF,38,1)&lt;&gt;"",INDEX(IHZ_HAZ_CONSIGNMENT,38,1)=INDEX(IHZ_HAZ_CONSIGNMENT,37,1),INDEX(IHZ_HAZ_DPGREF,38,1)=INDEX(IHZ_HAZ_DPGREF,37,1))),TRUE,AND(INDEX(IHZ_HAZ_DGCLASSIFI,38,1)&lt;&gt;"",INDEX(IHZ_HAZ_TEXTUALREF,38,1)&lt;&gt;"",INDEX(IHZ_HAZ_TOTAMOUNT,38,1)&lt;&gt;""))</f>
        <v>1</v>
      </c>
      <c r="H45" t="str">
        <f t="shared" si="0"/>
        <v>Row 38 - All mandatory fields must be given</v>
      </c>
      <c r="I45" t="s">
        <v>1391</v>
      </c>
      <c r="J45" t="b">
        <f>IF(OR(INDEX(OHZ_HAZ_CONSIGNMENT,38,1)="",AND(INDEX(OHZ_HAZ_DPGREF,38,1)&lt;&gt;"",INDEX(OHZ_HAZ_CONSIGNMENT,38,1)=INDEX(OHZ_HAZ_CONSIGNMENT,37,1),INDEX(OHZ_HAZ_DPGREF,38,1)=INDEX(OHZ_HAZ_DPGREF,37,1))),TRUE,AND(INDEX(OHZ_HAZ_DGCLASSIFI,38,1)&lt;&gt;"",INDEX(OHZ_HAZ_TEXTUALREF,38,1)&lt;&gt;"",INDEX(OHZ_HAZ_TOTAMOUNT,38,1)&lt;&gt;""))</f>
        <v>1</v>
      </c>
      <c r="K45" t="str">
        <f t="shared" si="1"/>
        <v>Row 38 - All mandatory fields must be given</v>
      </c>
      <c r="L45" t="s">
        <v>1391</v>
      </c>
      <c r="T45" t="s">
        <v>1646</v>
      </c>
    </row>
    <row r="46" spans="1:20" x14ac:dyDescent="0.25">
      <c r="A46" t="b">
        <f>OR(SEC_ISSC_ISSUERTYPE="",COUNTIF(REF_ISSUER_TYPE,SEC_ISSC_ISSUERTYPE)=1)</f>
        <v>1</v>
      </c>
      <c r="B46" t="s">
        <v>1552</v>
      </c>
      <c r="D46" t="b">
        <f>IF(ISNA(INDEX(WAS_ITE_TYPECODE,43,1)),TRUE,AND(INDEX(WAS_ITE_DELIVERED,43,1)&lt;&gt;"",INDEX(WAS_ITE_DELIVEREDU,43,1)&lt;&gt;"",INDEX(WAS_ITE_MAXSTORAG,43,1)&lt;&gt;"",INDEX(WAS_ITE_MAXSTORAGU,43,1)&lt;&gt;"",INDEX(WAS_ITE_RETAINED,43,1)&lt;&gt;"",INDEX(WAS_ITE_RETAINEDU,43,1)&lt;&gt;"",INDEX(WAS_ITE_GENERATED,43,1)&lt;&gt;"",INDEX(WAS_ITE_GENERATEDU,43,1)&lt;&gt;""))</f>
        <v>1</v>
      </c>
      <c r="E46" t="s">
        <v>2002</v>
      </c>
      <c r="F46" t="s">
        <v>1391</v>
      </c>
      <c r="G46" t="b">
        <f>IF(OR(INDEX(IHZ_HAZ_CONSIGNMENT,39,1)="",AND(INDEX(IHZ_HAZ_DPGREF,39,1)&lt;&gt;"",INDEX(IHZ_HAZ_CONSIGNMENT,39,1)=INDEX(IHZ_HAZ_CONSIGNMENT,38,1),INDEX(IHZ_HAZ_DPGREF,39,1)=INDEX(IHZ_HAZ_DPGREF,38,1))),TRUE,AND(INDEX(IHZ_HAZ_DGCLASSIFI,39,1)&lt;&gt;"",INDEX(IHZ_HAZ_TEXTUALREF,39,1)&lt;&gt;"",INDEX(IHZ_HAZ_TOTAMOUNT,39,1)&lt;&gt;""))</f>
        <v>1</v>
      </c>
      <c r="H46" t="str">
        <f t="shared" si="0"/>
        <v>Row 39 - All mandatory fields must be given</v>
      </c>
      <c r="I46" t="s">
        <v>1391</v>
      </c>
      <c r="J46" t="b">
        <f>IF(OR(INDEX(OHZ_HAZ_CONSIGNMENT,39,1)="",AND(INDEX(OHZ_HAZ_DPGREF,39,1)&lt;&gt;"",INDEX(OHZ_HAZ_CONSIGNMENT,39,1)=INDEX(OHZ_HAZ_CONSIGNMENT,38,1),INDEX(OHZ_HAZ_DPGREF,39,1)=INDEX(OHZ_HAZ_DPGREF,38,1))),TRUE,AND(INDEX(OHZ_HAZ_DGCLASSIFI,39,1)&lt;&gt;"",INDEX(OHZ_HAZ_TEXTUALREF,39,1)&lt;&gt;"",INDEX(OHZ_HAZ_TOTAMOUNT,39,1)&lt;&gt;""))</f>
        <v>1</v>
      </c>
      <c r="K46" t="str">
        <f t="shared" si="1"/>
        <v>Row 39 - All mandatory fields must be given</v>
      </c>
      <c r="L46" t="s">
        <v>1391</v>
      </c>
      <c r="T46" t="s">
        <v>1647</v>
      </c>
    </row>
    <row r="47" spans="1:20" x14ac:dyDescent="0.25">
      <c r="A47" t="b">
        <f>LEN(SEC_ISSC_ISSUER)&lt;256</f>
        <v>1</v>
      </c>
      <c r="B47" t="s">
        <v>1553</v>
      </c>
      <c r="D47" t="b">
        <f>IF(ISNA(INDEX(WAS_ITE_TYPECODE,44,1)),TRUE,AND(INDEX(WAS_ITE_DELIVERED,44,1)&lt;&gt;"",INDEX(WAS_ITE_DELIVEREDU,44,1)&lt;&gt;"",INDEX(WAS_ITE_MAXSTORAG,44,1)&lt;&gt;"",INDEX(WAS_ITE_MAXSTORAGU,44,1)&lt;&gt;"",INDEX(WAS_ITE_RETAINED,44,1)&lt;&gt;"",INDEX(WAS_ITE_RETAINEDU,44,1)&lt;&gt;"",INDEX(WAS_ITE_GENERATED,44,1)&lt;&gt;"",INDEX(WAS_ITE_GENERATEDU,44,1)&lt;&gt;""))</f>
        <v>1</v>
      </c>
      <c r="E47" t="s">
        <v>2004</v>
      </c>
      <c r="F47" t="s">
        <v>1391</v>
      </c>
      <c r="G47" t="b">
        <f>IF(OR(INDEX(IHZ_HAZ_CONSIGNMENT,40,1)="",AND(INDEX(IHZ_HAZ_DPGREF,40,1)&lt;&gt;"",INDEX(IHZ_HAZ_CONSIGNMENT,40,1)=INDEX(IHZ_HAZ_CONSIGNMENT,39,1),INDEX(IHZ_HAZ_DPGREF,40,1)=INDEX(IHZ_HAZ_DPGREF,39,1))),TRUE,AND(INDEX(IHZ_HAZ_DGCLASSIFI,40,1)&lt;&gt;"",INDEX(IHZ_HAZ_TEXTUALREF,40,1)&lt;&gt;"",INDEX(IHZ_HAZ_TOTAMOUNT,40,1)&lt;&gt;""))</f>
        <v>1</v>
      </c>
      <c r="H47" t="str">
        <f t="shared" si="0"/>
        <v>Row 40 - All mandatory fields must be given</v>
      </c>
      <c r="I47" t="s">
        <v>1391</v>
      </c>
      <c r="J47" t="b">
        <f>IF(OR(INDEX(OHZ_HAZ_CONSIGNMENT,40,1)="",AND(INDEX(OHZ_HAZ_DPGREF,40,1)&lt;&gt;"",INDEX(OHZ_HAZ_CONSIGNMENT,40,1)=INDEX(OHZ_HAZ_CONSIGNMENT,39,1),INDEX(OHZ_HAZ_DPGREF,40,1)=INDEX(OHZ_HAZ_DPGREF,39,1))),TRUE,AND(INDEX(OHZ_HAZ_DGCLASSIFI,40,1)&lt;&gt;"",INDEX(OHZ_HAZ_TEXTUALREF,40,1)&lt;&gt;"",INDEX(OHZ_HAZ_TOTAMOUNT,40,1)&lt;&gt;""))</f>
        <v>1</v>
      </c>
      <c r="K47" t="str">
        <f t="shared" si="1"/>
        <v>Row 40 - All mandatory fields must be given</v>
      </c>
      <c r="L47" t="s">
        <v>1391</v>
      </c>
      <c r="T47" t="s">
        <v>1648</v>
      </c>
    </row>
    <row r="48" spans="1:20" x14ac:dyDescent="0.25">
      <c r="D48" t="b">
        <f>IF(ISNA(INDEX(WAS_ITE_TYPECODE,45,1)),TRUE,AND(INDEX(WAS_ITE_DELIVERED,45,1)&lt;&gt;"",INDEX(WAS_ITE_DELIVEREDU,45,1)&lt;&gt;"",INDEX(WAS_ITE_MAXSTORAG,45,1)&lt;&gt;"",INDEX(WAS_ITE_MAXSTORAGU,45,1)&lt;&gt;"",INDEX(WAS_ITE_RETAINED,45,1)&lt;&gt;"",INDEX(WAS_ITE_RETAINEDU,45,1)&lt;&gt;"",INDEX(WAS_ITE_GENERATED,45,1)&lt;&gt;"",INDEX(WAS_ITE_GENERATEDU,45,1)&lt;&gt;""))</f>
        <v>1</v>
      </c>
      <c r="E48" t="s">
        <v>2005</v>
      </c>
      <c r="F48" t="s">
        <v>1391</v>
      </c>
      <c r="G48" t="b">
        <f>IF(OR(INDEX(IHZ_HAZ_CONSIGNMENT,41,1)="",AND(INDEX(IHZ_HAZ_DPGREF,41,1)&lt;&gt;"",INDEX(IHZ_HAZ_CONSIGNMENT,41,1)=INDEX(IHZ_HAZ_CONSIGNMENT,40,1),INDEX(IHZ_HAZ_DPGREF,41,1)=INDEX(IHZ_HAZ_DPGREF,40,1))),TRUE,AND(INDEX(IHZ_HAZ_DGCLASSIFI,41,1)&lt;&gt;"",INDEX(IHZ_HAZ_TEXTUALREF,41,1)&lt;&gt;"",INDEX(IHZ_HAZ_TOTAMOUNT,41,1)&lt;&gt;""))</f>
        <v>1</v>
      </c>
      <c r="H48" t="str">
        <f t="shared" si="0"/>
        <v>Row 41 - All mandatory fields must be given</v>
      </c>
      <c r="I48" t="s">
        <v>1391</v>
      </c>
      <c r="J48" t="b">
        <f>IF(OR(INDEX(OHZ_HAZ_CONSIGNMENT,41,1)="",AND(INDEX(OHZ_HAZ_DPGREF,41,1)&lt;&gt;"",INDEX(OHZ_HAZ_CONSIGNMENT,41,1)=INDEX(OHZ_HAZ_CONSIGNMENT,40,1),INDEX(OHZ_HAZ_DPGREF,41,1)=INDEX(OHZ_HAZ_DPGREF,40,1))),TRUE,AND(INDEX(OHZ_HAZ_DGCLASSIFI,41,1)&lt;&gt;"",INDEX(OHZ_HAZ_TEXTUALREF,41,1)&lt;&gt;"",INDEX(OHZ_HAZ_TOTAMOUNT,41,1)&lt;&gt;""))</f>
        <v>1</v>
      </c>
      <c r="K48" t="str">
        <f t="shared" si="1"/>
        <v>Row 41 - All mandatory fields must be given</v>
      </c>
      <c r="L48" t="s">
        <v>1391</v>
      </c>
      <c r="T48" t="s">
        <v>1649</v>
      </c>
    </row>
    <row r="49" spans="1:20" x14ac:dyDescent="0.25">
      <c r="A49" t="b">
        <f>OR(SEC_ISSC_ISVALID="",SEC_ISSC_ISVALID="FALSE",SEC_ISSC_ISVALID="TRUE")</f>
        <v>1</v>
      </c>
      <c r="B49" t="s">
        <v>1554</v>
      </c>
      <c r="D49" t="b">
        <f>IF(ISNA(INDEX(WAS_ITE_TYPECODE,46,1)),TRUE,AND(INDEX(WAS_ITE_DELIVERED,46,1)&lt;&gt;"",INDEX(WAS_ITE_DELIVEREDU,46,1)&lt;&gt;"",INDEX(WAS_ITE_MAXSTORAG,46,1)&lt;&gt;"",INDEX(WAS_ITE_MAXSTORAGU,46,1)&lt;&gt;"",INDEX(WAS_ITE_RETAINED,46,1)&lt;&gt;"",INDEX(WAS_ITE_RETAINEDU,46,1)&lt;&gt;"",INDEX(WAS_ITE_GENERATED,46,1)&lt;&gt;"",INDEX(WAS_ITE_GENERATEDU,46,1)&lt;&gt;""))</f>
        <v>1</v>
      </c>
      <c r="E49" t="s">
        <v>2006</v>
      </c>
      <c r="F49" t="s">
        <v>1391</v>
      </c>
      <c r="G49" t="b">
        <f>IF(OR(INDEX(IHZ_HAZ_CONSIGNMENT,42,1)="",AND(INDEX(IHZ_HAZ_DPGREF,42,1)&lt;&gt;"",INDEX(IHZ_HAZ_CONSIGNMENT,42,1)=INDEX(IHZ_HAZ_CONSIGNMENT,41,1),INDEX(IHZ_HAZ_DPGREF,42,1)=INDEX(IHZ_HAZ_DPGREF,41,1))),TRUE,AND(INDEX(IHZ_HAZ_DGCLASSIFI,42,1)&lt;&gt;"",INDEX(IHZ_HAZ_TEXTUALREF,42,1)&lt;&gt;"",INDEX(IHZ_HAZ_TOTAMOUNT,42,1)&lt;&gt;""))</f>
        <v>1</v>
      </c>
      <c r="H49" t="str">
        <f t="shared" si="0"/>
        <v>Row 42 - All mandatory fields must be given</v>
      </c>
      <c r="I49" t="s">
        <v>1391</v>
      </c>
      <c r="J49" t="b">
        <f>IF(OR(INDEX(OHZ_HAZ_CONSIGNMENT,42,1)="",AND(INDEX(OHZ_HAZ_DPGREF,42,1)&lt;&gt;"",INDEX(OHZ_HAZ_CONSIGNMENT,42,1)=INDEX(OHZ_HAZ_CONSIGNMENT,41,1),INDEX(OHZ_HAZ_DPGREF,42,1)=INDEX(OHZ_HAZ_DPGREF,41,1))),TRUE,AND(INDEX(OHZ_HAZ_DGCLASSIFI,42,1)&lt;&gt;"",INDEX(OHZ_HAZ_TEXTUALREF,42,1)&lt;&gt;"",INDEX(OHZ_HAZ_TOTAMOUNT,42,1)&lt;&gt;""))</f>
        <v>1</v>
      </c>
      <c r="K49" t="str">
        <f t="shared" si="1"/>
        <v>Row 42 - All mandatory fields must be given</v>
      </c>
      <c r="L49" t="s">
        <v>1391</v>
      </c>
      <c r="T49" t="s">
        <v>1650</v>
      </c>
    </row>
    <row r="50" spans="1:20" x14ac:dyDescent="0.25">
      <c r="A50" t="b">
        <f>LEN(SEC_ISSC_REASON)&lt;256</f>
        <v>1</v>
      </c>
      <c r="B50" t="s">
        <v>1555</v>
      </c>
      <c r="D50" t="b">
        <f>IF(INDEX(WAS_ITE_TYPE,43,1)&lt;&gt;"",ISNUMBER(INDEX(WAS_ITE_TYPECODE,43,1)),TRUE)</f>
        <v>1</v>
      </c>
      <c r="E50" t="s">
        <v>2007</v>
      </c>
      <c r="F50" t="s">
        <v>1391</v>
      </c>
      <c r="G50" t="b">
        <f>IF(OR(INDEX(IHZ_HAZ_CONSIGNMENT,43,1)="",AND(INDEX(IHZ_HAZ_DPGREF,43,1)&lt;&gt;"",INDEX(IHZ_HAZ_CONSIGNMENT,43,1)=INDEX(IHZ_HAZ_CONSIGNMENT,42,1),INDEX(IHZ_HAZ_DPGREF,43,1)=INDEX(IHZ_HAZ_DPGREF,42,1))),TRUE,AND(INDEX(IHZ_HAZ_DGCLASSIFI,43,1)&lt;&gt;"",INDEX(IHZ_HAZ_TEXTUALREF,43,1)&lt;&gt;"",INDEX(IHZ_HAZ_TOTAMOUNT,43,1)&lt;&gt;""))</f>
        <v>1</v>
      </c>
      <c r="H50" t="str">
        <f t="shared" si="0"/>
        <v>Row 43 - All mandatory fields must be given</v>
      </c>
      <c r="I50" t="s">
        <v>1391</v>
      </c>
      <c r="J50" t="b">
        <f>IF(OR(INDEX(OHZ_HAZ_CONSIGNMENT,43,1)="",AND(INDEX(OHZ_HAZ_DPGREF,43,1)&lt;&gt;"",INDEX(OHZ_HAZ_CONSIGNMENT,43,1)=INDEX(OHZ_HAZ_CONSIGNMENT,42,1),INDEX(OHZ_HAZ_DPGREF,43,1)=INDEX(OHZ_HAZ_DPGREF,42,1))),TRUE,AND(INDEX(OHZ_HAZ_DGCLASSIFI,43,1)&lt;&gt;"",INDEX(OHZ_HAZ_TEXTUALREF,43,1)&lt;&gt;"",INDEX(OHZ_HAZ_TOTAMOUNT,43,1)&lt;&gt;""))</f>
        <v>1</v>
      </c>
      <c r="K50" t="str">
        <f t="shared" si="1"/>
        <v>Row 43 - All mandatory fields must be given</v>
      </c>
      <c r="L50" t="s">
        <v>1391</v>
      </c>
      <c r="T50" t="s">
        <v>1651</v>
      </c>
    </row>
    <row r="51" spans="1:20" x14ac:dyDescent="0.25">
      <c r="A51" t="b">
        <f>OR(AND(LEN(SEC_SRC_SOURCE)&gt;2,LEN(SEC_SRC_SOURCE)&lt;33),SEC_SRC_SOURCE="")</f>
        <v>1</v>
      </c>
      <c r="B51" t="s">
        <v>1556</v>
      </c>
      <c r="D51" t="b">
        <f>IF(INDEX(WAS_ITE_TYPE,44,1)&lt;&gt;"",ISNUMBER(INDEX(WAS_ITE_TYPECODE,44,1)),TRUE)</f>
        <v>1</v>
      </c>
      <c r="E51" t="s">
        <v>2008</v>
      </c>
      <c r="F51" t="s">
        <v>1391</v>
      </c>
      <c r="G51" t="b">
        <f>IF(OR(INDEX(IHZ_HAZ_CONSIGNMENT,44,1)="",AND(INDEX(IHZ_HAZ_DPGREF,44,1)&lt;&gt;"",INDEX(IHZ_HAZ_CONSIGNMENT,44,1)=INDEX(IHZ_HAZ_CONSIGNMENT,43,1),INDEX(IHZ_HAZ_DPGREF,44,1)=INDEX(IHZ_HAZ_DPGREF,43,1))),TRUE,AND(INDEX(IHZ_HAZ_DGCLASSIFI,44,1)&lt;&gt;"",INDEX(IHZ_HAZ_TEXTUALREF,44,1)&lt;&gt;"",INDEX(IHZ_HAZ_TOTAMOUNT,44,1)&lt;&gt;""))</f>
        <v>1</v>
      </c>
      <c r="H51" t="str">
        <f t="shared" si="0"/>
        <v>Row 44 - All mandatory fields must be given</v>
      </c>
      <c r="I51" t="s">
        <v>1391</v>
      </c>
      <c r="J51" t="b">
        <f>IF(OR(INDEX(OHZ_HAZ_CONSIGNMENT,44,1)="",AND(INDEX(OHZ_HAZ_DPGREF,44,1)&lt;&gt;"",INDEX(OHZ_HAZ_CONSIGNMENT,44,1)=INDEX(OHZ_HAZ_CONSIGNMENT,43,1),INDEX(OHZ_HAZ_DPGREF,44,1)=INDEX(OHZ_HAZ_DPGREF,43,1))),TRUE,AND(INDEX(OHZ_HAZ_DGCLASSIFI,44,1)&lt;&gt;"",INDEX(OHZ_HAZ_TEXTUALREF,44,1)&lt;&gt;"",INDEX(OHZ_HAZ_TOTAMOUNT,44,1)&lt;&gt;""))</f>
        <v>1</v>
      </c>
      <c r="K51" t="str">
        <f t="shared" si="1"/>
        <v>Row 44 - All mandatory fields must be given</v>
      </c>
      <c r="L51" t="s">
        <v>1391</v>
      </c>
      <c r="T51" t="s">
        <v>1652</v>
      </c>
    </row>
    <row r="52" spans="1:20" x14ac:dyDescent="0.25">
      <c r="A52" t="b">
        <f>OR(SEC_CURRENTSEC="",COUNTIF(REF_SECURITYLEVELS_OPTIONS,SEC_CURRENTSEC)=1)</f>
        <v>1</v>
      </c>
      <c r="B52" t="s">
        <v>1557</v>
      </c>
      <c r="D52" t="b">
        <f>IF(INDEX(WAS_ITE_TYPE,45,1)&lt;&gt;"",ISNUMBER(INDEX(WAS_ITE_TYPECODE,45,1)),TRUE)</f>
        <v>1</v>
      </c>
      <c r="E52" t="s">
        <v>2009</v>
      </c>
      <c r="F52" t="s">
        <v>1391</v>
      </c>
      <c r="G52" t="b">
        <f>IF(OR(INDEX(IHZ_HAZ_CONSIGNMENT,45,1)="",AND(INDEX(IHZ_HAZ_DPGREF,45,1)&lt;&gt;"",INDEX(IHZ_HAZ_CONSIGNMENT,45,1)=INDEX(IHZ_HAZ_CONSIGNMENT,44,1),INDEX(IHZ_HAZ_DPGREF,45,1)=INDEX(IHZ_HAZ_DPGREF,44,1))),TRUE,AND(INDEX(IHZ_HAZ_DGCLASSIFI,45,1)&lt;&gt;"",INDEX(IHZ_HAZ_TEXTUALREF,45,1)&lt;&gt;"",INDEX(IHZ_HAZ_TOTAMOUNT,45,1)&lt;&gt;""))</f>
        <v>1</v>
      </c>
      <c r="H52" t="str">
        <f t="shared" si="0"/>
        <v>Row 45 - All mandatory fields must be given</v>
      </c>
      <c r="I52" t="s">
        <v>1391</v>
      </c>
      <c r="J52" t="b">
        <f>IF(OR(INDEX(OHZ_HAZ_CONSIGNMENT,45,1)="",AND(INDEX(OHZ_HAZ_DPGREF,45,1)&lt;&gt;"",INDEX(OHZ_HAZ_CONSIGNMENT,45,1)=INDEX(OHZ_HAZ_CONSIGNMENT,44,1),INDEX(OHZ_HAZ_DPGREF,45,1)=INDEX(OHZ_HAZ_DPGREF,44,1))),TRUE,AND(INDEX(OHZ_HAZ_DGCLASSIFI,45,1)&lt;&gt;"",INDEX(OHZ_HAZ_TEXTUALREF,45,1)&lt;&gt;"",INDEX(OHZ_HAZ_TOTAMOUNT,45,1)&lt;&gt;""))</f>
        <v>1</v>
      </c>
      <c r="K52" t="str">
        <f t="shared" si="1"/>
        <v>Row 45 - All mandatory fields must be given</v>
      </c>
      <c r="L52" t="s">
        <v>1391</v>
      </c>
      <c r="T52" t="s">
        <v>1653</v>
      </c>
    </row>
    <row r="53" spans="1:20" x14ac:dyDescent="0.25">
      <c r="A53" t="b">
        <f>OR(SEC_SECURITYPL="",COUNTIF(REF_YES_NO,SEC_SECURITYPL)=1)</f>
        <v>1</v>
      </c>
      <c r="B53" t="s">
        <v>1558</v>
      </c>
      <c r="D53" t="b">
        <f>IF(INDEX(WAS_ITE_TYPE,46,1)&lt;&gt;"",ISNUMBER(INDEX(WAS_ITE_TYPECODE,46,1)),TRUE)</f>
        <v>1</v>
      </c>
      <c r="E53" t="s">
        <v>2010</v>
      </c>
      <c r="F53" t="s">
        <v>1391</v>
      </c>
      <c r="G53" t="b">
        <f>IF(OR(INDEX(IHZ_HAZ_CONSIGNMENT,46,1)="",AND(INDEX(IHZ_HAZ_DPGREF,46,1)&lt;&gt;"",INDEX(IHZ_HAZ_CONSIGNMENT,46,1)=INDEX(IHZ_HAZ_CONSIGNMENT,45,1),INDEX(IHZ_HAZ_DPGREF,46,1)=INDEX(IHZ_HAZ_DPGREF,45,1))),TRUE,AND(INDEX(IHZ_HAZ_DGCLASSIFI,46,1)&lt;&gt;"",INDEX(IHZ_HAZ_TEXTUALREF,46,1)&lt;&gt;"",INDEX(IHZ_HAZ_TOTAMOUNT,46,1)&lt;&gt;""))</f>
        <v>1</v>
      </c>
      <c r="H53" t="str">
        <f t="shared" si="0"/>
        <v>Row 46 - All mandatory fields must be given</v>
      </c>
      <c r="I53" t="s">
        <v>1391</v>
      </c>
      <c r="J53" t="b">
        <f>IF(OR(INDEX(OHZ_HAZ_CONSIGNMENT,46,1)="",AND(INDEX(OHZ_HAZ_DPGREF,46,1)&lt;&gt;"",INDEX(OHZ_HAZ_CONSIGNMENT,46,1)=INDEX(OHZ_HAZ_CONSIGNMENT,45,1),INDEX(OHZ_HAZ_DPGREF,46,1)=INDEX(OHZ_HAZ_DPGREF,45,1))),TRUE,AND(INDEX(OHZ_HAZ_DGCLASSIFI,46,1)&lt;&gt;"",INDEX(OHZ_HAZ_TEXTUALREF,46,1)&lt;&gt;"",INDEX(OHZ_HAZ_TOTAMOUNT,46,1)&lt;&gt;""))</f>
        <v>1</v>
      </c>
      <c r="K53" t="str">
        <f t="shared" si="1"/>
        <v>Row 46 - All mandatory fields must be given</v>
      </c>
      <c r="L53" t="s">
        <v>1391</v>
      </c>
      <c r="T53" t="s">
        <v>1654</v>
      </c>
    </row>
    <row r="54" spans="1:20" x14ac:dyDescent="0.25">
      <c r="A54" t="e">
        <f>OR(SEC_PAS_PASSENGERS="",COUNTIF(REF_YES_NO_PASSENGER,SEC_PAS_PASSENGERS)=1)</f>
        <v>#NAME?</v>
      </c>
      <c r="B54" t="s">
        <v>1559</v>
      </c>
      <c r="D54" t="e">
        <f>OR(INDEX(WAS_ITE_REMAINING,1,1)="",COUNTIF(REF_LOCODES,INDEX(WAS_ITE_REMAINING,1,1))&lt;&gt;0)</f>
        <v>#NAME?</v>
      </c>
      <c r="F54" t="s">
        <v>1391</v>
      </c>
      <c r="G54" t="b">
        <f>IF(OR(INDEX(IHZ_HAZ_CONSIGNMENT,47,1)="",AND(INDEX(IHZ_HAZ_DPGREF,47,1)&lt;&gt;"",INDEX(IHZ_HAZ_CONSIGNMENT,47,1)=INDEX(IHZ_HAZ_CONSIGNMENT,46,1),INDEX(IHZ_HAZ_DPGREF,47,1)=INDEX(IHZ_HAZ_DPGREF,46,1))),TRUE,AND(INDEX(IHZ_HAZ_DGCLASSIFI,47,1)&lt;&gt;"",INDEX(IHZ_HAZ_TEXTUALREF,47,1)&lt;&gt;"",INDEX(IHZ_HAZ_TOTAMOUNT,47,1)&lt;&gt;""))</f>
        <v>1</v>
      </c>
      <c r="H54" t="str">
        <f t="shared" si="0"/>
        <v>Row 47 - All mandatory fields must be given</v>
      </c>
      <c r="I54" t="s">
        <v>1391</v>
      </c>
      <c r="J54" t="b">
        <f>IF(OR(INDEX(OHZ_HAZ_CONSIGNMENT,47,1)="",AND(INDEX(OHZ_HAZ_DPGREF,47,1)&lt;&gt;"",INDEX(OHZ_HAZ_CONSIGNMENT,47,1)=INDEX(OHZ_HAZ_CONSIGNMENT,46,1),INDEX(OHZ_HAZ_DPGREF,47,1)=INDEX(OHZ_HAZ_DPGREF,46,1))),TRUE,AND(INDEX(OHZ_HAZ_DGCLASSIFI,47,1)&lt;&gt;"",INDEX(OHZ_HAZ_TEXTUALREF,47,1)&lt;&gt;"",INDEX(OHZ_HAZ_TOTAMOUNT,47,1)&lt;&gt;""))</f>
        <v>1</v>
      </c>
      <c r="K54" t="str">
        <f t="shared" si="1"/>
        <v>Row 47 - All mandatory fields must be given</v>
      </c>
      <c r="L54" t="s">
        <v>1391</v>
      </c>
      <c r="T54" t="s">
        <v>1655</v>
      </c>
    </row>
    <row r="55" spans="1:20" x14ac:dyDescent="0.25">
      <c r="A55" t="b">
        <f>OR(SEC_PAS_CREWLIST="",COUNTIF(REF_YES_NO,SEC_PAS_CREWLIST)=1)</f>
        <v>1</v>
      </c>
      <c r="B55" t="s">
        <v>1560</v>
      </c>
      <c r="D55" t="e">
        <f>OR(INDEX(WAS_ITE_REMAINING,2,1)="",COUNTIF(REF_LOCODES,INDEX(WAS_ITE_REMAINING,2,1))&lt;&gt;0)</f>
        <v>#NAME?</v>
      </c>
      <c r="F55" t="s">
        <v>1391</v>
      </c>
      <c r="G55" t="b">
        <f>IF(OR(INDEX(IHZ_HAZ_CONSIGNMENT,48,1)="",AND(INDEX(IHZ_HAZ_DPGREF,48,1)&lt;&gt;"",INDEX(IHZ_HAZ_CONSIGNMENT,48,1)=INDEX(IHZ_HAZ_CONSIGNMENT,47,1),INDEX(IHZ_HAZ_DPGREF,48,1)=INDEX(IHZ_HAZ_DPGREF,47,1))),TRUE,AND(INDEX(IHZ_HAZ_DGCLASSIFI,48,1)&lt;&gt;"",INDEX(IHZ_HAZ_TEXTUALREF,48,1)&lt;&gt;"",INDEX(IHZ_HAZ_TOTAMOUNT,48,1)&lt;&gt;""))</f>
        <v>1</v>
      </c>
      <c r="H55" t="str">
        <f t="shared" si="0"/>
        <v>Row 48 - All mandatory fields must be given</v>
      </c>
      <c r="I55" t="s">
        <v>1391</v>
      </c>
      <c r="J55" t="b">
        <f>IF(OR(INDEX(OHZ_HAZ_CONSIGNMENT,48,1)="",AND(INDEX(OHZ_HAZ_DPGREF,48,1)&lt;&gt;"",INDEX(OHZ_HAZ_CONSIGNMENT,48,1)=INDEX(OHZ_HAZ_CONSIGNMENT,47,1),INDEX(OHZ_HAZ_DPGREF,48,1)=INDEX(OHZ_HAZ_DPGREF,47,1))),TRUE,AND(INDEX(OHZ_HAZ_DGCLASSIFI,48,1)&lt;&gt;"",INDEX(OHZ_HAZ_TEXTUALREF,48,1)&lt;&gt;"",INDEX(OHZ_HAZ_TOTAMOUNT,48,1)&lt;&gt;""))</f>
        <v>1</v>
      </c>
      <c r="K55" t="str">
        <f t="shared" si="1"/>
        <v>Row 48 - All mandatory fields must be given</v>
      </c>
      <c r="L55" t="s">
        <v>1391</v>
      </c>
      <c r="T55" t="s">
        <v>1656</v>
      </c>
    </row>
    <row r="56" spans="1:20" x14ac:dyDescent="0.25">
      <c r="A56" t="b">
        <f>LEN(SEC_CAR_BRIEFCARGO)&lt;256</f>
        <v>1</v>
      </c>
      <c r="B56" t="s">
        <v>1561</v>
      </c>
      <c r="D56" t="e">
        <f>OR(INDEX(WAS_ITE_REMAINING,3,1)="",COUNTIF(REF_LOCODES,INDEX(WAS_ITE_REMAINING,3,1))&lt;&gt;0)</f>
        <v>#NAME?</v>
      </c>
      <c r="F56" t="s">
        <v>1391</v>
      </c>
      <c r="G56" t="b">
        <f>IF(OR(INDEX(IHZ_HAZ_CONSIGNMENT,49,1)="",AND(INDEX(IHZ_HAZ_DPGREF,49,1)&lt;&gt;"",INDEX(IHZ_HAZ_CONSIGNMENT,49,1)=INDEX(IHZ_HAZ_CONSIGNMENT,48,1),INDEX(IHZ_HAZ_DPGREF,49,1)=INDEX(IHZ_HAZ_DPGREF,48,1))),TRUE,AND(INDEX(IHZ_HAZ_DGCLASSIFI,49,1)&lt;&gt;"",INDEX(IHZ_HAZ_TEXTUALREF,49,1)&lt;&gt;"",INDEX(IHZ_HAZ_TOTAMOUNT,49,1)&lt;&gt;""))</f>
        <v>1</v>
      </c>
      <c r="H56" t="str">
        <f t="shared" si="0"/>
        <v>Row 49 - All mandatory fields must be given</v>
      </c>
      <c r="I56" t="s">
        <v>1391</v>
      </c>
      <c r="J56" t="b">
        <f>IF(OR(INDEX(OHZ_HAZ_CONSIGNMENT,49,1)="",AND(INDEX(OHZ_HAZ_DPGREF,49,1)&lt;&gt;"",INDEX(OHZ_HAZ_CONSIGNMENT,49,1)=INDEX(OHZ_HAZ_CONSIGNMENT,48,1),INDEX(OHZ_HAZ_DPGREF,49,1)=INDEX(OHZ_HAZ_DPGREF,48,1))),TRUE,AND(INDEX(OHZ_HAZ_DGCLASSIFI,49,1)&lt;&gt;"",INDEX(OHZ_HAZ_TEXTUALREF,49,1)&lt;&gt;"",INDEX(OHZ_HAZ_TOTAMOUNT,49,1)&lt;&gt;""))</f>
        <v>1</v>
      </c>
      <c r="K56" t="str">
        <f t="shared" si="1"/>
        <v>Row 49 - All mandatory fields must be given</v>
      </c>
      <c r="L56" t="s">
        <v>1391</v>
      </c>
      <c r="T56" t="s">
        <v>1657</v>
      </c>
    </row>
    <row r="57" spans="1:20" x14ac:dyDescent="0.25">
      <c r="A57" t="b">
        <f>OR(SEC_RSM_RSM="",SEC_RSM_RSM="No",SEC_RSM_RSM="Yes")</f>
        <v>1</v>
      </c>
      <c r="B57" t="s">
        <v>1562</v>
      </c>
      <c r="D57" t="e">
        <f>OR(INDEX(WAS_ITE_REMAINING,4,1)="",COUNTIF(REF_LOCODES,INDEX(WAS_ITE_REMAINING,4,1))&lt;&gt;0)</f>
        <v>#NAME?</v>
      </c>
      <c r="F57" t="s">
        <v>1391</v>
      </c>
      <c r="G57" t="b">
        <f>IF(OR(INDEX(IHZ_HAZ_CONSIGNMENT,50,1)="",AND(INDEX(IHZ_HAZ_DPGREF,50,1)&lt;&gt;"",INDEX(IHZ_HAZ_CONSIGNMENT,50,1)=INDEX(IHZ_HAZ_CONSIGNMENT,49,1),INDEX(IHZ_HAZ_DPGREF,50,1)=INDEX(IHZ_HAZ_DPGREF,49,1))),TRUE,AND(INDEX(IHZ_HAZ_DGCLASSIFI,50,1)&lt;&gt;"",INDEX(IHZ_HAZ_TEXTUALREF,50,1)&lt;&gt;"",INDEX(IHZ_HAZ_TOTAMOUNT,50,1)&lt;&gt;""))</f>
        <v>1</v>
      </c>
      <c r="H57" t="str">
        <f t="shared" si="0"/>
        <v>Row 50 - All mandatory fields must be given</v>
      </c>
      <c r="I57" t="s">
        <v>1391</v>
      </c>
      <c r="J57" t="b">
        <f>IF(OR(INDEX(OHZ_HAZ_CONSIGNMENT,50,1)="",AND(INDEX(OHZ_HAZ_DPGREF,50,1)&lt;&gt;"",INDEX(OHZ_HAZ_CONSIGNMENT,50,1)=INDEX(OHZ_HAZ_CONSIGNMENT,49,1),INDEX(OHZ_HAZ_DPGREF,50,1)=INDEX(OHZ_HAZ_DPGREF,49,1))),TRUE,AND(INDEX(OHZ_HAZ_DGCLASSIFI,50,1)&lt;&gt;"",INDEX(OHZ_HAZ_TEXTUALREF,50,1)&lt;&gt;"",INDEX(OHZ_HAZ_TOTAMOUNT,50,1)&lt;&gt;""))</f>
        <v>1</v>
      </c>
      <c r="K57" t="str">
        <f t="shared" si="1"/>
        <v>Row 50 - All mandatory fields must be given</v>
      </c>
      <c r="L57" t="s">
        <v>1391</v>
      </c>
      <c r="T57" t="s">
        <v>1658</v>
      </c>
    </row>
    <row r="58" spans="1:20" x14ac:dyDescent="0.25">
      <c r="A58" t="b">
        <f>LEN(SEC_RSM_DESC)&lt;256</f>
        <v>1</v>
      </c>
      <c r="B58" t="s">
        <v>1563</v>
      </c>
      <c r="F58" t="s">
        <v>1391</v>
      </c>
      <c r="G58" t="b">
        <f>IF(OR(INDEX(IHZ_HAZ_CONSIGNMENT,51,1)="",AND(INDEX(IHZ_HAZ_DPGREF,51,1)&lt;&gt;"",INDEX(IHZ_HAZ_CONSIGNMENT,51,1)=INDEX(IHZ_HAZ_CONSIGNMENT,50,1),INDEX(IHZ_HAZ_DPGREF,51,1)=INDEX(IHZ_HAZ_DPGREF,50,1))),TRUE,AND(INDEX(IHZ_HAZ_DGCLASSIFI,51,1)&lt;&gt;"",INDEX(IHZ_HAZ_TEXTUALREF,51,1)&lt;&gt;"",INDEX(IHZ_HAZ_TOTAMOUNT,51,1)&lt;&gt;""))</f>
        <v>1</v>
      </c>
      <c r="H58" t="str">
        <f t="shared" si="0"/>
        <v>Row 51 - All mandatory fields must be given</v>
      </c>
      <c r="I58" t="s">
        <v>1391</v>
      </c>
      <c r="J58" t="b">
        <f>IF(OR(INDEX(OHZ_HAZ_CONSIGNMENT,51,1)="",AND(INDEX(OHZ_HAZ_DPGREF,51,1)&lt;&gt;"",INDEX(OHZ_HAZ_CONSIGNMENT,51,1)=INDEX(OHZ_HAZ_CONSIGNMENT,50,1),INDEX(OHZ_HAZ_DPGREF,51,1)=INDEX(OHZ_HAZ_DPGREF,50,1))),TRUE,AND(INDEX(OHZ_HAZ_DGCLASSIFI,51,1)&lt;&gt;"",INDEX(OHZ_HAZ_TEXTUALREF,51,1)&lt;&gt;"",INDEX(OHZ_HAZ_TOTAMOUNT,51,1)&lt;&gt;""))</f>
        <v>1</v>
      </c>
      <c r="K58" t="str">
        <f t="shared" si="1"/>
        <v>Row 51 - All mandatory fields must be given</v>
      </c>
      <c r="L58" t="s">
        <v>1391</v>
      </c>
      <c r="T58" t="s">
        <v>1659</v>
      </c>
    </row>
    <row r="59" spans="1:20" x14ac:dyDescent="0.25">
      <c r="A59" t="b">
        <f>LEN(SEC_PURPOSE)&lt;256</f>
        <v>1</v>
      </c>
      <c r="B59" t="s">
        <v>1564</v>
      </c>
      <c r="D59" t="e">
        <f>OR(INDEX(WAS_ITE_REMAINING,6,1)="",COUNTIF(REF_LOCODES,INDEX(WAS_ITE_REMAINING,6,1))&lt;&gt;0)</f>
        <v>#NAME?</v>
      </c>
      <c r="F59" t="s">
        <v>1391</v>
      </c>
      <c r="G59" t="b">
        <f>IF(OR(INDEX(IHZ_HAZ_CONSIGNMENT,52,1)="",AND(INDEX(IHZ_HAZ_DPGREF,52,1)&lt;&gt;"",INDEX(IHZ_HAZ_CONSIGNMENT,52,1)=INDEX(IHZ_HAZ_CONSIGNMENT,51,1),INDEX(IHZ_HAZ_DPGREF,52,1)=INDEX(IHZ_HAZ_DPGREF,51,1))),TRUE,AND(INDEX(IHZ_HAZ_DGCLASSIFI,52,1)&lt;&gt;"",INDEX(IHZ_HAZ_TEXTUALREF,52,1)&lt;&gt;"",INDEX(IHZ_HAZ_TOTAMOUNT,52,1)&lt;&gt;""))</f>
        <v>1</v>
      </c>
      <c r="H59" t="str">
        <f t="shared" si="0"/>
        <v>Row 52 - All mandatory fields must be given</v>
      </c>
      <c r="I59" t="s">
        <v>1391</v>
      </c>
      <c r="J59" t="b">
        <f>IF(OR(INDEX(OHZ_HAZ_CONSIGNMENT,52,1)="",AND(INDEX(OHZ_HAZ_DPGREF,52,1)&lt;&gt;"",INDEX(OHZ_HAZ_CONSIGNMENT,52,1)=INDEX(OHZ_HAZ_CONSIGNMENT,51,1),INDEX(OHZ_HAZ_DPGREF,52,1)=INDEX(OHZ_HAZ_DPGREF,51,1))),TRUE,AND(INDEX(OHZ_HAZ_DGCLASSIFI,52,1)&lt;&gt;"",INDEX(OHZ_HAZ_TEXTUALREF,52,1)&lt;&gt;"",INDEX(OHZ_HAZ_TOTAMOUNT,52,1)&lt;&gt;""))</f>
        <v>1</v>
      </c>
      <c r="K59" t="str">
        <f t="shared" si="1"/>
        <v>Row 52 - All mandatory fields must be given</v>
      </c>
      <c r="L59" t="s">
        <v>1391</v>
      </c>
      <c r="T59" t="s">
        <v>1660</v>
      </c>
    </row>
    <row r="60" spans="1:20" x14ac:dyDescent="0.25">
      <c r="F60" t="s">
        <v>1391</v>
      </c>
      <c r="G60" t="b">
        <f>IF(OR(INDEX(IHZ_HAZ_CONSIGNMENT,53,1)="",AND(INDEX(IHZ_HAZ_DPGREF,53,1)&lt;&gt;"",INDEX(IHZ_HAZ_CONSIGNMENT,53,1)=INDEX(IHZ_HAZ_CONSIGNMENT,52,1),INDEX(IHZ_HAZ_DPGREF,53,1)=INDEX(IHZ_HAZ_DPGREF,52,1))),TRUE,AND(INDEX(IHZ_HAZ_DGCLASSIFI,53,1)&lt;&gt;"",INDEX(IHZ_HAZ_TEXTUALREF,53,1)&lt;&gt;"",INDEX(IHZ_HAZ_TOTAMOUNT,53,1)&lt;&gt;""))</f>
        <v>1</v>
      </c>
      <c r="H60" t="str">
        <f t="shared" si="0"/>
        <v>Row 53 - All mandatory fields must be given</v>
      </c>
      <c r="I60" t="s">
        <v>1391</v>
      </c>
      <c r="J60" t="b">
        <f>IF(OR(INDEX(OHZ_HAZ_CONSIGNMENT,53,1)="",AND(INDEX(OHZ_HAZ_DPGREF,53,1)&lt;&gt;"",INDEX(OHZ_HAZ_CONSIGNMENT,53,1)=INDEX(OHZ_HAZ_CONSIGNMENT,52,1),INDEX(OHZ_HAZ_DPGREF,53,1)=INDEX(OHZ_HAZ_DPGREF,52,1))),TRUE,AND(INDEX(OHZ_HAZ_DGCLASSIFI,53,1)&lt;&gt;"",INDEX(OHZ_HAZ_TEXTUALREF,53,1)&lt;&gt;"",INDEX(OHZ_HAZ_TOTAMOUNT,53,1)&lt;&gt;""))</f>
        <v>1</v>
      </c>
      <c r="K60" t="str">
        <f t="shared" si="1"/>
        <v>Row 53 - All mandatory fields must be given</v>
      </c>
      <c r="L60" t="s">
        <v>1391</v>
      </c>
      <c r="T60" t="s">
        <v>1661</v>
      </c>
    </row>
    <row r="61" spans="1:20" x14ac:dyDescent="0.25">
      <c r="D61" t="e">
        <f>OR(INDEX(WAS_ITE_REMAINING,8,1)="",COUNTIF(REF_LOCODES,INDEX(WAS_ITE_REMAINING,8,1))&lt;&gt;0)</f>
        <v>#NAME?</v>
      </c>
      <c r="F61" t="s">
        <v>1391</v>
      </c>
      <c r="G61" t="b">
        <f>IF(OR(INDEX(IHZ_HAZ_CONSIGNMENT,54,1)="",AND(INDEX(IHZ_HAZ_DPGREF,54,1)&lt;&gt;"",INDEX(IHZ_HAZ_CONSIGNMENT,54,1)=INDEX(IHZ_HAZ_CONSIGNMENT,53,1),INDEX(IHZ_HAZ_DPGREF,54,1)=INDEX(IHZ_HAZ_DPGREF,53,1))),TRUE,AND(INDEX(IHZ_HAZ_DGCLASSIFI,54,1)&lt;&gt;"",INDEX(IHZ_HAZ_TEXTUALREF,54,1)&lt;&gt;"",INDEX(IHZ_HAZ_TOTAMOUNT,54,1)&lt;&gt;""))</f>
        <v>1</v>
      </c>
      <c r="H61" t="str">
        <f t="shared" si="0"/>
        <v>Row 54 - All mandatory fields must be given</v>
      </c>
      <c r="I61" t="s">
        <v>1391</v>
      </c>
      <c r="J61" t="b">
        <f>IF(OR(INDEX(OHZ_HAZ_CONSIGNMENT,54,1)="",AND(INDEX(OHZ_HAZ_DPGREF,54,1)&lt;&gt;"",INDEX(OHZ_HAZ_CONSIGNMENT,54,1)=INDEX(OHZ_HAZ_CONSIGNMENT,53,1),INDEX(OHZ_HAZ_DPGREF,54,1)=INDEX(OHZ_HAZ_DPGREF,53,1))),TRUE,AND(INDEX(OHZ_HAZ_DGCLASSIFI,54,1)&lt;&gt;"",INDEX(OHZ_HAZ_TEXTUALREF,54,1)&lt;&gt;"",INDEX(OHZ_HAZ_TOTAMOUNT,54,1)&lt;&gt;""))</f>
        <v>1</v>
      </c>
      <c r="K61" t="str">
        <f t="shared" si="1"/>
        <v>Row 54 - All mandatory fields must be given</v>
      </c>
      <c r="L61" t="s">
        <v>1391</v>
      </c>
      <c r="T61" t="s">
        <v>1662</v>
      </c>
    </row>
    <row r="62" spans="1:20" x14ac:dyDescent="0.25">
      <c r="A62" t="b">
        <f>SUMPRODUCT(--(LEN(SEC_LAST_COUNTRY)&gt;51))=0</f>
        <v>1</v>
      </c>
      <c r="B62" t="s">
        <v>2029</v>
      </c>
      <c r="D62" t="e">
        <f>OR(INDEX(WAS_ITE_REMAINING,9,1)="",COUNTIF(REF_LOCODES,INDEX(WAS_ITE_REMAINING,9,1))&lt;&gt;0)</f>
        <v>#NAME?</v>
      </c>
      <c r="F62" t="s">
        <v>1391</v>
      </c>
      <c r="G62" t="b">
        <f>IF(OR(INDEX(IHZ_HAZ_CONSIGNMENT,55,1)="",AND(INDEX(IHZ_HAZ_DPGREF,55,1)&lt;&gt;"",INDEX(IHZ_HAZ_CONSIGNMENT,55,1)=INDEX(IHZ_HAZ_CONSIGNMENT,54,1),INDEX(IHZ_HAZ_DPGREF,55,1)=INDEX(IHZ_HAZ_DPGREF,54,1))),TRUE,AND(INDEX(IHZ_HAZ_DGCLASSIFI,55,1)&lt;&gt;"",INDEX(IHZ_HAZ_TEXTUALREF,55,1)&lt;&gt;"",INDEX(IHZ_HAZ_TOTAMOUNT,55,1)&lt;&gt;""))</f>
        <v>1</v>
      </c>
      <c r="H62" t="str">
        <f t="shared" si="0"/>
        <v>Row 55 - All mandatory fields must be given</v>
      </c>
      <c r="I62" t="s">
        <v>1391</v>
      </c>
      <c r="J62" t="b">
        <f>IF(OR(INDEX(OHZ_HAZ_CONSIGNMENT,55,1)="",AND(INDEX(OHZ_HAZ_DPGREF,55,1)&lt;&gt;"",INDEX(OHZ_HAZ_CONSIGNMENT,55,1)=INDEX(OHZ_HAZ_CONSIGNMENT,54,1),INDEX(OHZ_HAZ_DPGREF,55,1)=INDEX(OHZ_HAZ_DPGREF,54,1))),TRUE,AND(INDEX(OHZ_HAZ_DGCLASSIFI,55,1)&lt;&gt;"",INDEX(OHZ_HAZ_TEXTUALREF,55,1)&lt;&gt;"",INDEX(OHZ_HAZ_TOTAMOUNT,55,1)&lt;&gt;""))</f>
        <v>1</v>
      </c>
      <c r="K62" t="str">
        <f t="shared" si="1"/>
        <v>Row 55 - All mandatory fields must be given</v>
      </c>
      <c r="L62" t="s">
        <v>1391</v>
      </c>
      <c r="T62" t="s">
        <v>1663</v>
      </c>
    </row>
    <row r="63" spans="1:20" x14ac:dyDescent="0.25">
      <c r="A63" t="b">
        <f>SUMPRODUCT(--(LEN(SEC_LAST_FACNAME)&gt;51))=0</f>
        <v>1</v>
      </c>
      <c r="B63" t="s">
        <v>2028</v>
      </c>
      <c r="D63" t="e">
        <f>OR(INDEX(WAS_ITE_REMAINING,10,1)="",COUNTIF(REF_LOCODES,INDEX(WAS_ITE_REMAINING,10,1))&lt;&gt;0)</f>
        <v>#NAME?</v>
      </c>
      <c r="F63" t="s">
        <v>1391</v>
      </c>
      <c r="G63" t="b">
        <f>IF(OR(INDEX(IHZ_HAZ_CONSIGNMENT,56,1)="",AND(INDEX(IHZ_HAZ_DPGREF,56,1)&lt;&gt;"",INDEX(IHZ_HAZ_CONSIGNMENT,56,1)=INDEX(IHZ_HAZ_CONSIGNMENT,55,1),INDEX(IHZ_HAZ_DPGREF,56,1)=INDEX(IHZ_HAZ_DPGREF,55,1))),TRUE,AND(INDEX(IHZ_HAZ_DGCLASSIFI,56,1)&lt;&gt;"",INDEX(IHZ_HAZ_TEXTUALREF,56,1)&lt;&gt;"",INDEX(IHZ_HAZ_TOTAMOUNT,56,1)&lt;&gt;""))</f>
        <v>1</v>
      </c>
      <c r="H63" t="str">
        <f t="shared" si="0"/>
        <v>Row 56 - All mandatory fields must be given</v>
      </c>
      <c r="I63" t="s">
        <v>1391</v>
      </c>
      <c r="J63" t="b">
        <f>IF(OR(INDEX(OHZ_HAZ_CONSIGNMENT,56,1)="",AND(INDEX(OHZ_HAZ_DPGREF,56,1)&lt;&gt;"",INDEX(OHZ_HAZ_CONSIGNMENT,56,1)=INDEX(OHZ_HAZ_CONSIGNMENT,55,1),INDEX(OHZ_HAZ_DPGREF,56,1)=INDEX(OHZ_HAZ_DPGREF,55,1))),TRUE,AND(INDEX(OHZ_HAZ_DGCLASSIFI,56,1)&lt;&gt;"",INDEX(OHZ_HAZ_TEXTUALREF,56,1)&lt;&gt;"",INDEX(OHZ_HAZ_TOTAMOUNT,56,1)&lt;&gt;""))</f>
        <v>1</v>
      </c>
      <c r="K63" t="str">
        <f t="shared" si="1"/>
        <v>Row 56 - All mandatory fields must be given</v>
      </c>
      <c r="L63" t="s">
        <v>1391</v>
      </c>
      <c r="T63" t="s">
        <v>1664</v>
      </c>
    </row>
    <row r="64" spans="1:20" x14ac:dyDescent="0.25">
      <c r="A64" t="b">
        <f>OR(LEN(INDEX(SEC_LAST_PORT,1,1))=5,LEN(INDEX(SEC_LAST_PORT,1,1))=0)</f>
        <v>1</v>
      </c>
      <c r="B64" t="s">
        <v>2027</v>
      </c>
      <c r="D64" t="e">
        <f>OR(INDEX(WAS_ITE_REMAINING,11,1)="",COUNTIF(REF_LOCODES,INDEX(WAS_ITE_REMAINING,11,1))&lt;&gt;0)</f>
        <v>#NAME?</v>
      </c>
      <c r="F64" t="s">
        <v>1391</v>
      </c>
      <c r="G64" t="b">
        <f>IF(OR(INDEX(IHZ_HAZ_CONSIGNMENT,57,1)="",AND(INDEX(IHZ_HAZ_DPGREF,57,1)&lt;&gt;"",INDEX(IHZ_HAZ_CONSIGNMENT,57,1)=INDEX(IHZ_HAZ_CONSIGNMENT,56,1),INDEX(IHZ_HAZ_DPGREF,57,1)=INDEX(IHZ_HAZ_DPGREF,56,1))),TRUE,AND(INDEX(IHZ_HAZ_DGCLASSIFI,57,1)&lt;&gt;"",INDEX(IHZ_HAZ_TEXTUALREF,57,1)&lt;&gt;"",INDEX(IHZ_HAZ_TOTAMOUNT,57,1)&lt;&gt;""))</f>
        <v>1</v>
      </c>
      <c r="H64" t="str">
        <f t="shared" si="0"/>
        <v>Row 57 - All mandatory fields must be given</v>
      </c>
      <c r="I64" t="s">
        <v>1391</v>
      </c>
      <c r="J64" t="b">
        <f>IF(OR(INDEX(OHZ_HAZ_CONSIGNMENT,57,1)="",AND(INDEX(OHZ_HAZ_DPGREF,57,1)&lt;&gt;"",INDEX(OHZ_HAZ_CONSIGNMENT,57,1)=INDEX(OHZ_HAZ_CONSIGNMENT,56,1),INDEX(OHZ_HAZ_DPGREF,57,1)=INDEX(OHZ_HAZ_DPGREF,56,1))),TRUE,AND(INDEX(OHZ_HAZ_DGCLASSIFI,57,1)&lt;&gt;"",INDEX(OHZ_HAZ_TEXTUALREF,57,1)&lt;&gt;"",INDEX(OHZ_HAZ_TOTAMOUNT,57,1)&lt;&gt;""))</f>
        <v>1</v>
      </c>
      <c r="K64" t="str">
        <f t="shared" si="1"/>
        <v>Row 57 - All mandatory fields must be given</v>
      </c>
      <c r="L64" t="s">
        <v>1391</v>
      </c>
      <c r="T64" t="s">
        <v>1665</v>
      </c>
    </row>
    <row r="65" spans="1:20" x14ac:dyDescent="0.25">
      <c r="A65" t="b">
        <f>OR(LEN(INDEX(SEC_LAST_PORTFAC,1,1))=4,LEN(INDEX(SEC_LAST_PORTFAC,1,1))=0)</f>
        <v>1</v>
      </c>
      <c r="B65" t="s">
        <v>1591</v>
      </c>
      <c r="D65" t="e">
        <f>OR(INDEX(WAS_ITE_REMAINING,12,1)="",COUNTIF(REF_LOCODES,INDEX(WAS_ITE_REMAINING,12,1))&lt;&gt;0)</f>
        <v>#NAME?</v>
      </c>
      <c r="F65" t="s">
        <v>1391</v>
      </c>
      <c r="G65" t="b">
        <f>IF(OR(INDEX(IHZ_HAZ_CONSIGNMENT,58,1)="",AND(INDEX(IHZ_HAZ_DPGREF,58,1)&lt;&gt;"",INDEX(IHZ_HAZ_CONSIGNMENT,58,1)=INDEX(IHZ_HAZ_CONSIGNMENT,57,1),INDEX(IHZ_HAZ_DPGREF,58,1)=INDEX(IHZ_HAZ_DPGREF,57,1))),TRUE,AND(INDEX(IHZ_HAZ_DGCLASSIFI,58,1)&lt;&gt;"",INDEX(IHZ_HAZ_TEXTUALREF,58,1)&lt;&gt;"",INDEX(IHZ_HAZ_TOTAMOUNT,58,1)&lt;&gt;""))</f>
        <v>1</v>
      </c>
      <c r="H65" t="str">
        <f t="shared" si="0"/>
        <v>Row 58 - All mandatory fields must be given</v>
      </c>
      <c r="I65" t="s">
        <v>1391</v>
      </c>
      <c r="J65" t="b">
        <f>IF(OR(INDEX(OHZ_HAZ_CONSIGNMENT,58,1)="",AND(INDEX(OHZ_HAZ_DPGREF,58,1)&lt;&gt;"",INDEX(OHZ_HAZ_CONSIGNMENT,58,1)=INDEX(OHZ_HAZ_CONSIGNMENT,57,1),INDEX(OHZ_HAZ_DPGREF,58,1)=INDEX(OHZ_HAZ_DPGREF,57,1))),TRUE,AND(INDEX(OHZ_HAZ_DGCLASSIFI,58,1)&lt;&gt;"",INDEX(OHZ_HAZ_TEXTUALREF,58,1)&lt;&gt;"",INDEX(OHZ_HAZ_TOTAMOUNT,58,1)&lt;&gt;""))</f>
        <v>1</v>
      </c>
      <c r="K65" t="str">
        <f t="shared" si="1"/>
        <v>Row 58 - All mandatory fields must be given</v>
      </c>
      <c r="L65" t="s">
        <v>1391</v>
      </c>
      <c r="T65" t="s">
        <v>1666</v>
      </c>
    </row>
    <row r="66" spans="1:20" x14ac:dyDescent="0.25">
      <c r="A66" t="b">
        <f>OR(LEN(INDEX(SEC_LAST_PORTFAC,2,1))=4,LEN(INDEX(SEC_LAST_PORTFAC,2,1))=0)</f>
        <v>1</v>
      </c>
      <c r="B66" t="s">
        <v>1592</v>
      </c>
      <c r="D66" t="e">
        <f>OR(INDEX(WAS_ITE_REMAINING,13,1)="",COUNTIF(REF_LOCODES,INDEX(WAS_ITE_REMAINING,13,1))&lt;&gt;0)</f>
        <v>#NAME?</v>
      </c>
      <c r="F66" t="s">
        <v>1391</v>
      </c>
      <c r="G66" t="b">
        <f>IF(OR(INDEX(IHZ_HAZ_CONSIGNMENT,59,1)="",AND(INDEX(IHZ_HAZ_DPGREF,59,1)&lt;&gt;"",INDEX(IHZ_HAZ_CONSIGNMENT,59,1)=INDEX(IHZ_HAZ_CONSIGNMENT,58,1),INDEX(IHZ_HAZ_DPGREF,59,1)=INDEX(IHZ_HAZ_DPGREF,58,1))),TRUE,AND(INDEX(IHZ_HAZ_DGCLASSIFI,59,1)&lt;&gt;"",INDEX(IHZ_HAZ_TEXTUALREF,59,1)&lt;&gt;"",INDEX(IHZ_HAZ_TOTAMOUNT,59,1)&lt;&gt;""))</f>
        <v>1</v>
      </c>
      <c r="H66" t="str">
        <f t="shared" si="0"/>
        <v>Row 59 - All mandatory fields must be given</v>
      </c>
      <c r="I66" t="s">
        <v>1391</v>
      </c>
      <c r="J66" t="b">
        <f>IF(OR(INDEX(OHZ_HAZ_CONSIGNMENT,59,1)="",AND(INDEX(OHZ_HAZ_DPGREF,59,1)&lt;&gt;"",INDEX(OHZ_HAZ_CONSIGNMENT,59,1)=INDEX(OHZ_HAZ_CONSIGNMENT,58,1),INDEX(OHZ_HAZ_DPGREF,59,1)=INDEX(OHZ_HAZ_DPGREF,58,1))),TRUE,AND(INDEX(OHZ_HAZ_DGCLASSIFI,59,1)&lt;&gt;"",INDEX(OHZ_HAZ_TEXTUALREF,59,1)&lt;&gt;"",INDEX(OHZ_HAZ_TOTAMOUNT,59,1)&lt;&gt;""))</f>
        <v>1</v>
      </c>
      <c r="K66" t="str">
        <f t="shared" si="1"/>
        <v>Row 59 - All mandatory fields must be given</v>
      </c>
      <c r="L66" t="s">
        <v>1391</v>
      </c>
      <c r="T66" t="s">
        <v>1667</v>
      </c>
    </row>
    <row r="67" spans="1:20" x14ac:dyDescent="0.25">
      <c r="A67" t="b">
        <f>OR(LEN(INDEX(SEC_LAST_PORTFAC,3,1))=4,LEN(INDEX(SEC_LAST_PORTFAC,3,1))=0)</f>
        <v>1</v>
      </c>
      <c r="B67" t="s">
        <v>1593</v>
      </c>
      <c r="D67" t="e">
        <f>OR(INDEX(WAS_ITE_REMAINING,14,1)="",COUNTIF(REF_LOCODES,INDEX(WAS_ITE_REMAINING,14,1))&lt;&gt;0)</f>
        <v>#NAME?</v>
      </c>
      <c r="F67" t="s">
        <v>1391</v>
      </c>
      <c r="G67" t="b">
        <f>IF(OR(INDEX(IHZ_HAZ_CONSIGNMENT,60,1)="",AND(INDEX(IHZ_HAZ_DPGREF,60,1)&lt;&gt;"",INDEX(IHZ_HAZ_CONSIGNMENT,60,1)=INDEX(IHZ_HAZ_CONSIGNMENT,59,1),INDEX(IHZ_HAZ_DPGREF,60,1)=INDEX(IHZ_HAZ_DPGREF,59,1))),TRUE,AND(INDEX(IHZ_HAZ_DGCLASSIFI,60,1)&lt;&gt;"",INDEX(IHZ_HAZ_TEXTUALREF,60,1)&lt;&gt;"",INDEX(IHZ_HAZ_TOTAMOUNT,60,1)&lt;&gt;""))</f>
        <v>1</v>
      </c>
      <c r="H67" t="str">
        <f t="shared" si="0"/>
        <v>Row 60 - All mandatory fields must be given</v>
      </c>
      <c r="I67" t="s">
        <v>1391</v>
      </c>
      <c r="J67" t="b">
        <f>IF(OR(INDEX(OHZ_HAZ_CONSIGNMENT,60,1)="",AND(INDEX(OHZ_HAZ_DPGREF,60,1)&lt;&gt;"",INDEX(OHZ_HAZ_CONSIGNMENT,60,1)=INDEX(OHZ_HAZ_CONSIGNMENT,59,1),INDEX(OHZ_HAZ_DPGREF,60,1)=INDEX(OHZ_HAZ_DPGREF,59,1))),TRUE,AND(INDEX(OHZ_HAZ_DGCLASSIFI,60,1)&lt;&gt;"",INDEX(OHZ_HAZ_TEXTUALREF,60,1)&lt;&gt;"",INDEX(OHZ_HAZ_TOTAMOUNT,60,1)&lt;&gt;""))</f>
        <v>1</v>
      </c>
      <c r="K67" t="str">
        <f t="shared" si="1"/>
        <v>Row 60 - All mandatory fields must be given</v>
      </c>
      <c r="L67" t="s">
        <v>1391</v>
      </c>
      <c r="T67" t="s">
        <v>1668</v>
      </c>
    </row>
    <row r="68" spans="1:20" x14ac:dyDescent="0.25">
      <c r="A68" t="b">
        <f>OR(LEN(INDEX(SEC_LAST_PORTFAC,4,1))=4,LEN(INDEX(SEC_LAST_PORTFAC,4,1))=0)</f>
        <v>1</v>
      </c>
      <c r="B68" t="s">
        <v>1594</v>
      </c>
      <c r="D68" t="e">
        <f>OR(INDEX(WAS_ITE_REMAINING,15,1)="",COUNTIF(REF_LOCODES,INDEX(WAS_ITE_REMAINING,15,1))&lt;&gt;0)</f>
        <v>#NAME?</v>
      </c>
      <c r="F68" t="s">
        <v>1391</v>
      </c>
      <c r="G68" t="b">
        <f>IF(OR(INDEX(IHZ_HAZ_CONSIGNMENT,61,1)="",AND(INDEX(IHZ_HAZ_DPGREF,61,1)&lt;&gt;"",INDEX(IHZ_HAZ_CONSIGNMENT,61,1)=INDEX(IHZ_HAZ_CONSIGNMENT,60,1),INDEX(IHZ_HAZ_DPGREF,61,1)=INDEX(IHZ_HAZ_DPGREF,60,1))),TRUE,AND(INDEX(IHZ_HAZ_DGCLASSIFI,61,1)&lt;&gt;"",INDEX(IHZ_HAZ_TEXTUALREF,61,1)&lt;&gt;"",INDEX(IHZ_HAZ_TOTAMOUNT,61,1)&lt;&gt;""))</f>
        <v>1</v>
      </c>
      <c r="H68" t="str">
        <f t="shared" si="0"/>
        <v>Row 61 - All mandatory fields must be given</v>
      </c>
      <c r="I68" t="s">
        <v>1391</v>
      </c>
      <c r="J68" t="b">
        <f>IF(OR(INDEX(OHZ_HAZ_CONSIGNMENT,61,1)="",AND(INDEX(OHZ_HAZ_DPGREF,61,1)&lt;&gt;"",INDEX(OHZ_HAZ_CONSIGNMENT,61,1)=INDEX(OHZ_HAZ_CONSIGNMENT,60,1),INDEX(OHZ_HAZ_DPGREF,61,1)=INDEX(OHZ_HAZ_DPGREF,60,1))),TRUE,AND(INDEX(OHZ_HAZ_DGCLASSIFI,61,1)&lt;&gt;"",INDEX(OHZ_HAZ_TEXTUALREF,61,1)&lt;&gt;"",INDEX(OHZ_HAZ_TOTAMOUNT,61,1)&lt;&gt;""))</f>
        <v>1</v>
      </c>
      <c r="K68" t="str">
        <f t="shared" si="1"/>
        <v>Row 61 - All mandatory fields must be given</v>
      </c>
      <c r="L68" t="s">
        <v>1391</v>
      </c>
      <c r="T68" t="s">
        <v>1669</v>
      </c>
    </row>
    <row r="69" spans="1:20" x14ac:dyDescent="0.25">
      <c r="A69" t="b">
        <f>OR(LEN(INDEX(SEC_LAST_PORTFAC,5,1))=4,LEN(INDEX(SEC_LAST_PORTFAC,5,1))=0)</f>
        <v>1</v>
      </c>
      <c r="B69" t="s">
        <v>1595</v>
      </c>
      <c r="D69" t="e">
        <f>OR(INDEX(WAS_ITE_REMAINING,16,1)="",COUNTIF(REF_LOCODES,INDEX(WAS_ITE_REMAINING,16,1))&lt;&gt;0)</f>
        <v>#NAME?</v>
      </c>
      <c r="F69" t="s">
        <v>1391</v>
      </c>
      <c r="G69" t="b">
        <f>IF(OR(INDEX(IHZ_HAZ_CONSIGNMENT,62,1)="",AND(INDEX(IHZ_HAZ_DPGREF,62,1)&lt;&gt;"",INDEX(IHZ_HAZ_CONSIGNMENT,62,1)=INDEX(IHZ_HAZ_CONSIGNMENT,61,1),INDEX(IHZ_HAZ_DPGREF,62,1)=INDEX(IHZ_HAZ_DPGREF,61,1))),TRUE,AND(INDEX(IHZ_HAZ_DGCLASSIFI,62,1)&lt;&gt;"",INDEX(IHZ_HAZ_TEXTUALREF,62,1)&lt;&gt;"",INDEX(IHZ_HAZ_TOTAMOUNT,62,1)&lt;&gt;""))</f>
        <v>1</v>
      </c>
      <c r="H69" t="str">
        <f t="shared" si="0"/>
        <v>Row 62 - All mandatory fields must be given</v>
      </c>
      <c r="I69" t="s">
        <v>1391</v>
      </c>
      <c r="J69" t="b">
        <f>IF(OR(INDEX(OHZ_HAZ_CONSIGNMENT,62,1)="",AND(INDEX(OHZ_HAZ_DPGREF,62,1)&lt;&gt;"",INDEX(OHZ_HAZ_CONSIGNMENT,62,1)=INDEX(OHZ_HAZ_CONSIGNMENT,61,1),INDEX(OHZ_HAZ_DPGREF,62,1)=INDEX(OHZ_HAZ_DPGREF,61,1))),TRUE,AND(INDEX(OHZ_HAZ_DGCLASSIFI,62,1)&lt;&gt;"",INDEX(OHZ_HAZ_TEXTUALREF,62,1)&lt;&gt;"",INDEX(OHZ_HAZ_TOTAMOUNT,62,1)&lt;&gt;""))</f>
        <v>1</v>
      </c>
      <c r="K69" t="str">
        <f t="shared" si="1"/>
        <v>Row 62 - All mandatory fields must be given</v>
      </c>
      <c r="L69" t="s">
        <v>1391</v>
      </c>
      <c r="T69" t="s">
        <v>1670</v>
      </c>
    </row>
    <row r="70" spans="1:20" x14ac:dyDescent="0.25">
      <c r="A70" t="b">
        <f>OR(LEN(INDEX(SEC_LAST_PORTFAC,6,1))=4,LEN(INDEX(SEC_LAST_PORTFAC,6,1))=0)</f>
        <v>1</v>
      </c>
      <c r="B70" t="s">
        <v>1596</v>
      </c>
      <c r="D70" t="e">
        <f>OR(INDEX(WAS_ITE_REMAINING,17,1)="",COUNTIF(REF_LOCODES,INDEX(WAS_ITE_REMAINING,17,1))&lt;&gt;0)</f>
        <v>#NAME?</v>
      </c>
      <c r="F70" t="s">
        <v>1391</v>
      </c>
      <c r="G70" t="b">
        <f>IF(OR(INDEX(IHZ_HAZ_CONSIGNMENT,63,1)="",AND(INDEX(IHZ_HAZ_DPGREF,63,1)&lt;&gt;"",INDEX(IHZ_HAZ_CONSIGNMENT,63,1)=INDEX(IHZ_HAZ_CONSIGNMENT,62,1),INDEX(IHZ_HAZ_DPGREF,63,1)=INDEX(IHZ_HAZ_DPGREF,62,1))),TRUE,AND(INDEX(IHZ_HAZ_DGCLASSIFI,63,1)&lt;&gt;"",INDEX(IHZ_HAZ_TEXTUALREF,63,1)&lt;&gt;"",INDEX(IHZ_HAZ_TOTAMOUNT,63,1)&lt;&gt;""))</f>
        <v>1</v>
      </c>
      <c r="H70" t="str">
        <f t="shared" si="0"/>
        <v>Row 63 - All mandatory fields must be given</v>
      </c>
      <c r="I70" t="s">
        <v>1391</v>
      </c>
      <c r="J70" t="b">
        <f>IF(OR(INDEX(OHZ_HAZ_CONSIGNMENT,63,1)="",AND(INDEX(OHZ_HAZ_DPGREF,63,1)&lt;&gt;"",INDEX(OHZ_HAZ_CONSIGNMENT,63,1)=INDEX(OHZ_HAZ_CONSIGNMENT,62,1),INDEX(OHZ_HAZ_DPGREF,63,1)=INDEX(OHZ_HAZ_DPGREF,62,1))),TRUE,AND(INDEX(OHZ_HAZ_DGCLASSIFI,63,1)&lt;&gt;"",INDEX(OHZ_HAZ_TEXTUALREF,63,1)&lt;&gt;"",INDEX(OHZ_HAZ_TOTAMOUNT,63,1)&lt;&gt;""))</f>
        <v>1</v>
      </c>
      <c r="K70" t="str">
        <f t="shared" si="1"/>
        <v>Row 63 - All mandatory fields must be given</v>
      </c>
      <c r="L70" t="s">
        <v>1391</v>
      </c>
      <c r="T70" t="s">
        <v>1671</v>
      </c>
    </row>
    <row r="71" spans="1:20" x14ac:dyDescent="0.25">
      <c r="A71" t="b">
        <f>OR(LEN(INDEX(SEC_LAST_PORTFAC,7,1))=4,LEN(INDEX(SEC_LAST_PORTFAC,7,1))=0)</f>
        <v>1</v>
      </c>
      <c r="B71" t="s">
        <v>1597</v>
      </c>
      <c r="D71" t="e">
        <f>OR(INDEX(WAS_ITE_REMAINING,18,1)="",COUNTIF(REF_LOCODES,INDEX(WAS_ITE_REMAINING,18,1))&lt;&gt;0)</f>
        <v>#NAME?</v>
      </c>
      <c r="F71" t="s">
        <v>1391</v>
      </c>
      <c r="G71" t="b">
        <f>IF(OR(INDEX(IHZ_HAZ_CONSIGNMENT,64,1)="",AND(INDEX(IHZ_HAZ_DPGREF,64,1)&lt;&gt;"",INDEX(IHZ_HAZ_CONSIGNMENT,64,1)=INDEX(IHZ_HAZ_CONSIGNMENT,63,1),INDEX(IHZ_HAZ_DPGREF,64,1)=INDEX(IHZ_HAZ_DPGREF,63,1))),TRUE,AND(INDEX(IHZ_HAZ_DGCLASSIFI,64,1)&lt;&gt;"",INDEX(IHZ_HAZ_TEXTUALREF,64,1)&lt;&gt;"",INDEX(IHZ_HAZ_TOTAMOUNT,64,1)&lt;&gt;""))</f>
        <v>1</v>
      </c>
      <c r="H71" t="str">
        <f t="shared" si="0"/>
        <v>Row 64 - All mandatory fields must be given</v>
      </c>
      <c r="I71" t="s">
        <v>1391</v>
      </c>
      <c r="J71" t="b">
        <f>IF(OR(INDEX(OHZ_HAZ_CONSIGNMENT,64,1)="",AND(INDEX(OHZ_HAZ_DPGREF,64,1)&lt;&gt;"",INDEX(OHZ_HAZ_CONSIGNMENT,64,1)=INDEX(OHZ_HAZ_CONSIGNMENT,63,1),INDEX(OHZ_HAZ_DPGREF,64,1)=INDEX(OHZ_HAZ_DPGREF,63,1))),TRUE,AND(INDEX(OHZ_HAZ_DGCLASSIFI,64,1)&lt;&gt;"",INDEX(OHZ_HAZ_TEXTUALREF,64,1)&lt;&gt;"",INDEX(OHZ_HAZ_TOTAMOUNT,64,1)&lt;&gt;""))</f>
        <v>1</v>
      </c>
      <c r="K71" t="str">
        <f t="shared" si="1"/>
        <v>Row 64 - All mandatory fields must be given</v>
      </c>
      <c r="L71" t="s">
        <v>1391</v>
      </c>
      <c r="T71" t="s">
        <v>1672</v>
      </c>
    </row>
    <row r="72" spans="1:20" x14ac:dyDescent="0.25">
      <c r="A72" t="b">
        <f>OR(LEN(INDEX(SEC_LAST_PORTFAC,8,1))=4,LEN(INDEX(SEC_LAST_PORTFAC,8,1))=0)</f>
        <v>1</v>
      </c>
      <c r="B72" t="s">
        <v>1598</v>
      </c>
      <c r="D72" t="e">
        <f>OR(INDEX(WAS_ITE_REMAINING,19,1)="",COUNTIF(REF_LOCODES,INDEX(WAS_ITE_REMAINING,19,1))&lt;&gt;0)</f>
        <v>#NAME?</v>
      </c>
      <c r="F72" t="s">
        <v>1391</v>
      </c>
      <c r="G72" t="b">
        <f>IF(OR(INDEX(IHZ_HAZ_CONSIGNMENT,65,1)="",AND(INDEX(IHZ_HAZ_DPGREF,65,1)&lt;&gt;"",INDEX(IHZ_HAZ_CONSIGNMENT,65,1)=INDEX(IHZ_HAZ_CONSIGNMENT,64,1),INDEX(IHZ_HAZ_DPGREF,65,1)=INDEX(IHZ_HAZ_DPGREF,64,1))),TRUE,AND(INDEX(IHZ_HAZ_DGCLASSIFI,65,1)&lt;&gt;"",INDEX(IHZ_HAZ_TEXTUALREF,65,1)&lt;&gt;"",INDEX(IHZ_HAZ_TOTAMOUNT,65,1)&lt;&gt;""))</f>
        <v>1</v>
      </c>
      <c r="H72" t="str">
        <f t="shared" si="0"/>
        <v>Row 65 - All mandatory fields must be given</v>
      </c>
      <c r="I72" t="s">
        <v>1391</v>
      </c>
      <c r="J72" t="b">
        <f>IF(OR(INDEX(OHZ_HAZ_CONSIGNMENT,65,1)="",AND(INDEX(OHZ_HAZ_DPGREF,65,1)&lt;&gt;"",INDEX(OHZ_HAZ_CONSIGNMENT,65,1)=INDEX(OHZ_HAZ_CONSIGNMENT,64,1),INDEX(OHZ_HAZ_DPGREF,65,1)=INDEX(OHZ_HAZ_DPGREF,64,1))),TRUE,AND(INDEX(OHZ_HAZ_DGCLASSIFI,65,1)&lt;&gt;"",INDEX(OHZ_HAZ_TEXTUALREF,65,1)&lt;&gt;"",INDEX(OHZ_HAZ_TOTAMOUNT,65,1)&lt;&gt;""))</f>
        <v>1</v>
      </c>
      <c r="K72" t="str">
        <f t="shared" si="1"/>
        <v>Row 65 - All mandatory fields must be given</v>
      </c>
      <c r="L72" t="s">
        <v>1391</v>
      </c>
      <c r="T72" t="s">
        <v>1673</v>
      </c>
    </row>
    <row r="73" spans="1:20" x14ac:dyDescent="0.25">
      <c r="A73" t="b">
        <f>OR(LEN(INDEX(SEC_LAST_PORTFAC,9,1))=4,LEN(INDEX(SEC_LAST_PORTFAC,9,1))=0)</f>
        <v>1</v>
      </c>
      <c r="B73" t="s">
        <v>1599</v>
      </c>
      <c r="D73" t="e">
        <f>OR(INDEX(WAS_ITE_REMAINING,20,1)="",COUNTIF(REF_LOCODES,INDEX(WAS_ITE_REMAINING,20,1))&lt;&gt;0)</f>
        <v>#NAME?</v>
      </c>
      <c r="F73" t="s">
        <v>1391</v>
      </c>
      <c r="G73" t="b">
        <f>IF(OR(INDEX(IHZ_HAZ_CONSIGNMENT,66,1)="",AND(INDEX(IHZ_HAZ_DPGREF,66,1)&lt;&gt;"",INDEX(IHZ_HAZ_CONSIGNMENT,66,1)=INDEX(IHZ_HAZ_CONSIGNMENT,65,1),INDEX(IHZ_HAZ_DPGREF,66,1)=INDEX(IHZ_HAZ_DPGREF,65,1))),TRUE,AND(INDEX(IHZ_HAZ_DGCLASSIFI,66,1)&lt;&gt;"",INDEX(IHZ_HAZ_TEXTUALREF,66,1)&lt;&gt;"",INDEX(IHZ_HAZ_TOTAMOUNT,66,1)&lt;&gt;""))</f>
        <v>1</v>
      </c>
      <c r="H73" t="str">
        <f t="shared" ref="H73:H136" si="2">T66&amp;$V$1</f>
        <v>Row 66 - All mandatory fields must be given</v>
      </c>
      <c r="I73" t="s">
        <v>1391</v>
      </c>
      <c r="J73" t="b">
        <f>IF(OR(INDEX(OHZ_HAZ_CONSIGNMENT,66,1)="",AND(INDEX(OHZ_HAZ_DPGREF,66,1)&lt;&gt;"",INDEX(OHZ_HAZ_CONSIGNMENT,66,1)=INDEX(OHZ_HAZ_CONSIGNMENT,65,1),INDEX(OHZ_HAZ_DPGREF,66,1)=INDEX(OHZ_HAZ_DPGREF,65,1))),TRUE,AND(INDEX(OHZ_HAZ_DGCLASSIFI,66,1)&lt;&gt;"",INDEX(OHZ_HAZ_TEXTUALREF,66,1)&lt;&gt;"",INDEX(OHZ_HAZ_TOTAMOUNT,66,1)&lt;&gt;""))</f>
        <v>1</v>
      </c>
      <c r="K73" t="str">
        <f t="shared" ref="K73:K136" si="3">T66&amp;$V$1</f>
        <v>Row 66 - All mandatory fields must be given</v>
      </c>
      <c r="L73" t="s">
        <v>1391</v>
      </c>
      <c r="T73" t="s">
        <v>1674</v>
      </c>
    </row>
    <row r="74" spans="1:20" x14ac:dyDescent="0.25">
      <c r="A74" t="b">
        <f>OR(LEN(INDEX(SEC_LAST_PORTFAC,10,1))=4,LEN(INDEX(SEC_LAST_PORTFAC,10,1))=0)</f>
        <v>1</v>
      </c>
      <c r="B74" t="s">
        <v>1600</v>
      </c>
      <c r="D74" t="e">
        <f>OR(INDEX(WAS_ITE_REMAINING,21,1)="",COUNTIF(REF_LOCODES,INDEX(WAS_ITE_REMAINING,21,1))&lt;&gt;0)</f>
        <v>#NAME?</v>
      </c>
      <c r="F74" t="s">
        <v>1391</v>
      </c>
      <c r="G74" t="b">
        <f>IF(OR(INDEX(IHZ_HAZ_CONSIGNMENT,67,1)="",AND(INDEX(IHZ_HAZ_DPGREF,67,1)&lt;&gt;"",INDEX(IHZ_HAZ_CONSIGNMENT,67,1)=INDEX(IHZ_HAZ_CONSIGNMENT,66,1),INDEX(IHZ_HAZ_DPGREF,67,1)=INDEX(IHZ_HAZ_DPGREF,66,1))),TRUE,AND(INDEX(IHZ_HAZ_DGCLASSIFI,67,1)&lt;&gt;"",INDEX(IHZ_HAZ_TEXTUALREF,67,1)&lt;&gt;"",INDEX(IHZ_HAZ_TOTAMOUNT,67,1)&lt;&gt;""))</f>
        <v>1</v>
      </c>
      <c r="H74" t="str">
        <f t="shared" si="2"/>
        <v>Row 67 - All mandatory fields must be given</v>
      </c>
      <c r="I74" t="s">
        <v>1391</v>
      </c>
      <c r="J74" t="b">
        <f>IF(OR(INDEX(OHZ_HAZ_CONSIGNMENT,67,1)="",AND(INDEX(OHZ_HAZ_DPGREF,67,1)&lt;&gt;"",INDEX(OHZ_HAZ_CONSIGNMENT,67,1)=INDEX(OHZ_HAZ_CONSIGNMENT,66,1),INDEX(OHZ_HAZ_DPGREF,67,1)=INDEX(OHZ_HAZ_DPGREF,66,1))),TRUE,AND(INDEX(OHZ_HAZ_DGCLASSIFI,67,1)&lt;&gt;"",INDEX(OHZ_HAZ_TEXTUALREF,67,1)&lt;&gt;"",INDEX(OHZ_HAZ_TOTAMOUNT,67,1)&lt;&gt;""))</f>
        <v>1</v>
      </c>
      <c r="K74" t="str">
        <f t="shared" si="3"/>
        <v>Row 67 - All mandatory fields must be given</v>
      </c>
      <c r="L74" t="s">
        <v>1391</v>
      </c>
      <c r="T74" t="s">
        <v>1675</v>
      </c>
    </row>
    <row r="75" spans="1:20" x14ac:dyDescent="0.25">
      <c r="A75" t="b">
        <f>OR(INDEX(SEC_LAST_SECLEVEL,1,1)="",COUNTIF(REF_SECURITYLEVELS_OPTIONS,INDEX(SEC_LAST_SECLEVEL,1,1))=1)</f>
        <v>1</v>
      </c>
      <c r="B75" t="s">
        <v>2026</v>
      </c>
      <c r="D75" t="e">
        <f>OR(INDEX(WAS_ITE_REMAINING,22,1)="",COUNTIF(REF_LOCODES,INDEX(WAS_ITE_REMAINING,22,1))&lt;&gt;0)</f>
        <v>#NAME?</v>
      </c>
      <c r="F75" t="s">
        <v>1391</v>
      </c>
      <c r="G75" t="b">
        <f>IF(OR(INDEX(IHZ_HAZ_CONSIGNMENT,68,1)="",AND(INDEX(IHZ_HAZ_DPGREF,68,1)&lt;&gt;"",INDEX(IHZ_HAZ_CONSIGNMENT,68,1)=INDEX(IHZ_HAZ_CONSIGNMENT,67,1),INDEX(IHZ_HAZ_DPGREF,68,1)=INDEX(IHZ_HAZ_DPGREF,67,1))),TRUE,AND(INDEX(IHZ_HAZ_DGCLASSIFI,68,1)&lt;&gt;"",INDEX(IHZ_HAZ_TEXTUALREF,68,1)&lt;&gt;"",INDEX(IHZ_HAZ_TOTAMOUNT,68,1)&lt;&gt;""))</f>
        <v>1</v>
      </c>
      <c r="H75" t="str">
        <f t="shared" si="2"/>
        <v>Row 68 - All mandatory fields must be given</v>
      </c>
      <c r="I75" t="s">
        <v>1391</v>
      </c>
      <c r="J75" t="b">
        <f>IF(OR(INDEX(OHZ_HAZ_CONSIGNMENT,68,1)="",AND(INDEX(OHZ_HAZ_DPGREF,68,1)&lt;&gt;"",INDEX(OHZ_HAZ_CONSIGNMENT,68,1)=INDEX(OHZ_HAZ_CONSIGNMENT,67,1),INDEX(OHZ_HAZ_DPGREF,68,1)=INDEX(OHZ_HAZ_DPGREF,67,1))),TRUE,AND(INDEX(OHZ_HAZ_DGCLASSIFI,68,1)&lt;&gt;"",INDEX(OHZ_HAZ_TEXTUALREF,68,1)&lt;&gt;"",INDEX(OHZ_HAZ_TOTAMOUNT,68,1)&lt;&gt;""))</f>
        <v>1</v>
      </c>
      <c r="K75" t="str">
        <f t="shared" si="3"/>
        <v>Row 68 - All mandatory fields must be given</v>
      </c>
      <c r="L75" t="s">
        <v>1391</v>
      </c>
      <c r="T75" t="s">
        <v>1676</v>
      </c>
    </row>
    <row r="76" spans="1:20" x14ac:dyDescent="0.25">
      <c r="A76" t="b">
        <f>OR(INDEX(SEC_LAST_MEASURESYORN,1,1)="None",INDEX(SEC_LAST_MEASURESYORN,1,1)="Yes")</f>
        <v>1</v>
      </c>
      <c r="B76" t="s">
        <v>2025</v>
      </c>
      <c r="D76" t="e">
        <f>OR(INDEX(WAS_ITE_REMAINING,23,1)="",COUNTIF(REF_LOCODES,INDEX(WAS_ITE_REMAINING,23,1))&lt;&gt;0)</f>
        <v>#NAME?</v>
      </c>
      <c r="F76" t="s">
        <v>1391</v>
      </c>
      <c r="G76" t="b">
        <f>IF(OR(INDEX(IHZ_HAZ_CONSIGNMENT,69,1)="",AND(INDEX(IHZ_HAZ_DPGREF,69,1)&lt;&gt;"",INDEX(IHZ_HAZ_CONSIGNMENT,69,1)=INDEX(IHZ_HAZ_CONSIGNMENT,68,1),INDEX(IHZ_HAZ_DPGREF,69,1)=INDEX(IHZ_HAZ_DPGREF,68,1))),TRUE,AND(INDEX(IHZ_HAZ_DGCLASSIFI,69,1)&lt;&gt;"",INDEX(IHZ_HAZ_TEXTUALREF,69,1)&lt;&gt;"",INDEX(IHZ_HAZ_TOTAMOUNT,69,1)&lt;&gt;""))</f>
        <v>1</v>
      </c>
      <c r="H76" t="str">
        <f t="shared" si="2"/>
        <v>Row 69 - All mandatory fields must be given</v>
      </c>
      <c r="I76" t="s">
        <v>1391</v>
      </c>
      <c r="J76" t="b">
        <f>IF(OR(INDEX(OHZ_HAZ_CONSIGNMENT,69,1)="",AND(INDEX(OHZ_HAZ_DPGREF,69,1)&lt;&gt;"",INDEX(OHZ_HAZ_CONSIGNMENT,69,1)=INDEX(OHZ_HAZ_CONSIGNMENT,68,1),INDEX(OHZ_HAZ_DPGREF,69,1)=INDEX(OHZ_HAZ_DPGREF,68,1))),TRUE,AND(INDEX(OHZ_HAZ_DGCLASSIFI,69,1)&lt;&gt;"",INDEX(OHZ_HAZ_TEXTUALREF,69,1)&lt;&gt;"",INDEX(OHZ_HAZ_TOTAMOUNT,69,1)&lt;&gt;""))</f>
        <v>1</v>
      </c>
      <c r="K76" t="str">
        <f t="shared" si="3"/>
        <v>Row 69 - All mandatory fields must be given</v>
      </c>
      <c r="L76" t="s">
        <v>1391</v>
      </c>
      <c r="T76" t="s">
        <v>1677</v>
      </c>
    </row>
    <row r="77" spans="1:20" x14ac:dyDescent="0.25">
      <c r="A77" t="b">
        <f>SUMPRODUCT(--(LEN(SEC_LAST_SECMEASURE))&gt;256)=0</f>
        <v>1</v>
      </c>
      <c r="B77" t="s">
        <v>2024</v>
      </c>
      <c r="F77" t="s">
        <v>1391</v>
      </c>
      <c r="G77" t="b">
        <f>IF(OR(INDEX(IHZ_HAZ_CONSIGNMENT,70,1)="",AND(INDEX(IHZ_HAZ_DPGREF,70,1)&lt;&gt;"",INDEX(IHZ_HAZ_CONSIGNMENT,70,1)=INDEX(IHZ_HAZ_CONSIGNMENT,69,1),INDEX(IHZ_HAZ_DPGREF,70,1)=INDEX(IHZ_HAZ_DPGREF,69,1))),TRUE,AND(INDEX(IHZ_HAZ_DGCLASSIFI,70,1)&lt;&gt;"",INDEX(IHZ_HAZ_TEXTUALREF,70,1)&lt;&gt;"",INDEX(IHZ_HAZ_TOTAMOUNT,70,1)&lt;&gt;""))</f>
        <v>1</v>
      </c>
      <c r="H77" t="str">
        <f t="shared" si="2"/>
        <v>Row 70 - All mandatory fields must be given</v>
      </c>
      <c r="I77" t="s">
        <v>1391</v>
      </c>
      <c r="J77" t="b">
        <f>IF(OR(INDEX(OHZ_HAZ_CONSIGNMENT,70,1)="",AND(INDEX(OHZ_HAZ_DPGREF,70,1)&lt;&gt;"",INDEX(OHZ_HAZ_CONSIGNMENT,70,1)=INDEX(OHZ_HAZ_CONSIGNMENT,69,1),INDEX(OHZ_HAZ_DPGREF,70,1)=INDEX(OHZ_HAZ_DPGREF,69,1))),TRUE,AND(INDEX(OHZ_HAZ_DGCLASSIFI,70,1)&lt;&gt;"",INDEX(OHZ_HAZ_TEXTUALREF,70,1)&lt;&gt;"",INDEX(OHZ_HAZ_TOTAMOUNT,70,1)&lt;&gt;""))</f>
        <v>1</v>
      </c>
      <c r="K77" t="str">
        <f t="shared" si="3"/>
        <v>Row 70 - All mandatory fields must be given</v>
      </c>
      <c r="L77" t="s">
        <v>1391</v>
      </c>
      <c r="T77" t="s">
        <v>1678</v>
      </c>
    </row>
    <row r="78" spans="1:20" x14ac:dyDescent="0.25">
      <c r="D78" t="e">
        <f>OR(INDEX(WAS_ITE_REMAINING,25,1)="",COUNTIF(REF_LOCODES,INDEX(WAS_ITE_REMAINING,25,1))&lt;&gt;0)</f>
        <v>#NAME?</v>
      </c>
      <c r="F78" t="s">
        <v>1391</v>
      </c>
      <c r="G78" t="b">
        <f>IF(OR(INDEX(IHZ_HAZ_CONSIGNMENT,71,1)="",AND(INDEX(IHZ_HAZ_DPGREF,71,1)&lt;&gt;"",INDEX(IHZ_HAZ_CONSIGNMENT,71,1)=INDEX(IHZ_HAZ_CONSIGNMENT,70,1),INDEX(IHZ_HAZ_DPGREF,71,1)=INDEX(IHZ_HAZ_DPGREF,70,1))),TRUE,AND(INDEX(IHZ_HAZ_DGCLASSIFI,71,1)&lt;&gt;"",INDEX(IHZ_HAZ_TEXTUALREF,71,1)&lt;&gt;"",INDEX(IHZ_HAZ_TOTAMOUNT,71,1)&lt;&gt;""))</f>
        <v>1</v>
      </c>
      <c r="H78" t="str">
        <f t="shared" si="2"/>
        <v>Row 71 - All mandatory fields must be given</v>
      </c>
      <c r="I78" t="s">
        <v>1391</v>
      </c>
      <c r="J78" t="b">
        <f>IF(OR(INDEX(OHZ_HAZ_CONSIGNMENT,71,1)="",AND(INDEX(OHZ_HAZ_DPGREF,71,1)&lt;&gt;"",INDEX(OHZ_HAZ_CONSIGNMENT,71,1)=INDEX(OHZ_HAZ_CONSIGNMENT,70,1),INDEX(OHZ_HAZ_DPGREF,71,1)=INDEX(OHZ_HAZ_DPGREF,70,1))),TRUE,AND(INDEX(OHZ_HAZ_DGCLASSIFI,71,1)&lt;&gt;"",INDEX(OHZ_HAZ_TEXTUALREF,71,1)&lt;&gt;"",INDEX(OHZ_HAZ_TOTAMOUNT,71,1)&lt;&gt;""))</f>
        <v>1</v>
      </c>
      <c r="K78" t="str">
        <f t="shared" si="3"/>
        <v>Row 71 - All mandatory fields must be given</v>
      </c>
      <c r="L78" t="s">
        <v>1391</v>
      </c>
      <c r="T78" t="s">
        <v>1679</v>
      </c>
    </row>
    <row r="79" spans="1:20" x14ac:dyDescent="0.25">
      <c r="D79" t="e">
        <f>OR(INDEX(WAS_ITE_REMAINING,26,1)="",COUNTIF(REF_LOCODES,INDEX(WAS_ITE_REMAINING,26,1))&lt;&gt;0)</f>
        <v>#NAME?</v>
      </c>
      <c r="F79" t="s">
        <v>1391</v>
      </c>
      <c r="G79" t="b">
        <f>IF(OR(INDEX(IHZ_HAZ_CONSIGNMENT,72,1)="",AND(INDEX(IHZ_HAZ_DPGREF,72,1)&lt;&gt;"",INDEX(IHZ_HAZ_CONSIGNMENT,72,1)=INDEX(IHZ_HAZ_CONSIGNMENT,71,1),INDEX(IHZ_HAZ_DPGREF,72,1)=INDEX(IHZ_HAZ_DPGREF,71,1))),TRUE,AND(INDEX(IHZ_HAZ_DGCLASSIFI,72,1)&lt;&gt;"",INDEX(IHZ_HAZ_TEXTUALREF,72,1)&lt;&gt;"",INDEX(IHZ_HAZ_TOTAMOUNT,72,1)&lt;&gt;""))</f>
        <v>1</v>
      </c>
      <c r="H79" t="str">
        <f t="shared" si="2"/>
        <v>Row 72 - All mandatory fields must be given</v>
      </c>
      <c r="I79" t="s">
        <v>1391</v>
      </c>
      <c r="J79" t="b">
        <f>IF(OR(INDEX(OHZ_HAZ_CONSIGNMENT,72,1)="",AND(INDEX(OHZ_HAZ_DPGREF,72,1)&lt;&gt;"",INDEX(OHZ_HAZ_CONSIGNMENT,72,1)=INDEX(OHZ_HAZ_CONSIGNMENT,71,1),INDEX(OHZ_HAZ_DPGREF,72,1)=INDEX(OHZ_HAZ_DPGREF,71,1))),TRUE,AND(INDEX(OHZ_HAZ_DGCLASSIFI,72,1)&lt;&gt;"",INDEX(OHZ_HAZ_TEXTUALREF,72,1)&lt;&gt;"",INDEX(OHZ_HAZ_TOTAMOUNT,72,1)&lt;&gt;""))</f>
        <v>1</v>
      </c>
      <c r="K79" t="str">
        <f t="shared" si="3"/>
        <v>Row 72 - All mandatory fields must be given</v>
      </c>
      <c r="L79" t="s">
        <v>1391</v>
      </c>
      <c r="T79" t="s">
        <v>1680</v>
      </c>
    </row>
    <row r="80" spans="1:20" x14ac:dyDescent="0.25">
      <c r="A80" t="b">
        <f>OR(AND((INDEX(SEC_SHIP_LATITUDE,1,1)&gt;-54000001),(INDEX(SEC_SHIP_LATITUDE,1,1)&lt;54000001)), (INDEX(SEC_SHIP_LATITUDE,1,1)=54600000))</f>
        <v>1</v>
      </c>
      <c r="B80" t="s">
        <v>2023</v>
      </c>
      <c r="D80" t="e">
        <f>OR(INDEX(WAS_ITE_REMAINING,27,1)="",COUNTIF(REF_LOCODES,INDEX(WAS_ITE_REMAINING,27,1))&lt;&gt;0)</f>
        <v>#NAME?</v>
      </c>
      <c r="F80" t="s">
        <v>1391</v>
      </c>
      <c r="G80" t="b">
        <f>IF(OR(INDEX(IHZ_HAZ_CONSIGNMENT,73,1)="",AND(INDEX(IHZ_HAZ_DPGREF,73,1)&lt;&gt;"",INDEX(IHZ_HAZ_CONSIGNMENT,73,1)=INDEX(IHZ_HAZ_CONSIGNMENT,72,1),INDEX(IHZ_HAZ_DPGREF,73,1)=INDEX(IHZ_HAZ_DPGREF,72,1))),TRUE,AND(INDEX(IHZ_HAZ_DGCLASSIFI,73,1)&lt;&gt;"",INDEX(IHZ_HAZ_TEXTUALREF,73,1)&lt;&gt;"",INDEX(IHZ_HAZ_TOTAMOUNT,73,1)&lt;&gt;""))</f>
        <v>1</v>
      </c>
      <c r="H80" t="str">
        <f t="shared" si="2"/>
        <v>Row 73 - All mandatory fields must be given</v>
      </c>
      <c r="I80" t="s">
        <v>1391</v>
      </c>
      <c r="J80" t="b">
        <f>IF(OR(INDEX(OHZ_HAZ_CONSIGNMENT,73,1)="",AND(INDEX(OHZ_HAZ_DPGREF,73,1)&lt;&gt;"",INDEX(OHZ_HAZ_CONSIGNMENT,73,1)=INDEX(OHZ_HAZ_CONSIGNMENT,72,1),INDEX(OHZ_HAZ_DPGREF,73,1)=INDEX(OHZ_HAZ_DPGREF,72,1))),TRUE,AND(INDEX(OHZ_HAZ_DGCLASSIFI,73,1)&lt;&gt;"",INDEX(OHZ_HAZ_TEXTUALREF,73,1)&lt;&gt;"",INDEX(OHZ_HAZ_TOTAMOUNT,73,1)&lt;&gt;""))</f>
        <v>1</v>
      </c>
      <c r="K80" t="str">
        <f t="shared" si="3"/>
        <v>Row 73 - All mandatory fields must be given</v>
      </c>
      <c r="L80" t="s">
        <v>1391</v>
      </c>
      <c r="T80" t="s">
        <v>1681</v>
      </c>
    </row>
    <row r="81" spans="1:20" x14ac:dyDescent="0.25">
      <c r="A81" t="b">
        <f>OR(AND((INDEX(SEC_SHIP_LONGITUDE,1,1)&gt;-108000001),(INDEX(SEC_SHIP_LONGITUDE,1,1)&lt;108000001)), (INDEX(SEC_SHIP_LONGITUDE,1,1)=108600000))</f>
        <v>1</v>
      </c>
      <c r="B81" t="s">
        <v>2022</v>
      </c>
      <c r="F81" t="s">
        <v>1391</v>
      </c>
      <c r="G81" t="b">
        <f>IF(OR(INDEX(IHZ_HAZ_CONSIGNMENT,74,1)="",AND(INDEX(IHZ_HAZ_DPGREF,74,1)&lt;&gt;"",INDEX(IHZ_HAZ_CONSIGNMENT,74,1)=INDEX(IHZ_HAZ_CONSIGNMENT,73,1),INDEX(IHZ_HAZ_DPGREF,74,1)=INDEX(IHZ_HAZ_DPGREF,73,1))),TRUE,AND(INDEX(IHZ_HAZ_DGCLASSIFI,74,1)&lt;&gt;"",INDEX(IHZ_HAZ_TEXTUALREF,74,1)&lt;&gt;"",INDEX(IHZ_HAZ_TOTAMOUNT,74,1)&lt;&gt;""))</f>
        <v>1</v>
      </c>
      <c r="H81" t="str">
        <f t="shared" si="2"/>
        <v>Row 74 - All mandatory fields must be given</v>
      </c>
      <c r="I81" t="s">
        <v>1391</v>
      </c>
      <c r="J81" t="b">
        <f>IF(OR(INDEX(OHZ_HAZ_CONSIGNMENT,74,1)="",AND(INDEX(OHZ_HAZ_DPGREF,74,1)&lt;&gt;"",INDEX(OHZ_HAZ_CONSIGNMENT,74,1)=INDEX(OHZ_HAZ_CONSIGNMENT,73,1),INDEX(OHZ_HAZ_DPGREF,74,1)=INDEX(OHZ_HAZ_DPGREF,73,1))),TRUE,AND(INDEX(OHZ_HAZ_DGCLASSIFI,74,1)&lt;&gt;"",INDEX(OHZ_HAZ_TEXTUALREF,74,1)&lt;&gt;"",INDEX(OHZ_HAZ_TOTAMOUNT,74,1)&lt;&gt;""))</f>
        <v>1</v>
      </c>
      <c r="K81" t="str">
        <f t="shared" si="3"/>
        <v>Row 74 - All mandatory fields must be given</v>
      </c>
      <c r="L81" t="s">
        <v>1391</v>
      </c>
      <c r="T81" t="s">
        <v>1682</v>
      </c>
    </row>
    <row r="82" spans="1:20" x14ac:dyDescent="0.25">
      <c r="A82" t="b">
        <f>SUMPRODUCT(--(LEN(SEC_SHIP_LOCATION))&gt;256)=0</f>
        <v>1</v>
      </c>
      <c r="B82" t="s">
        <v>2021</v>
      </c>
      <c r="D82" t="e">
        <f>OR(INDEX(WAS_ITE_REMAINING,29,1)="",COUNTIF(REF_LOCODES,INDEX(WAS_ITE_REMAINING,29,1))&lt;&gt;0)</f>
        <v>#NAME?</v>
      </c>
      <c r="F82" t="s">
        <v>1391</v>
      </c>
      <c r="G82" t="b">
        <f>IF(OR(INDEX(IHZ_HAZ_CONSIGNMENT,75,1)="",AND(INDEX(IHZ_HAZ_DPGREF,75,1)&lt;&gt;"",INDEX(IHZ_HAZ_CONSIGNMENT,75,1)=INDEX(IHZ_HAZ_CONSIGNMENT,74,1),INDEX(IHZ_HAZ_DPGREF,75,1)=INDEX(IHZ_HAZ_DPGREF,74,1))),TRUE,AND(INDEX(IHZ_HAZ_DGCLASSIFI,75,1)&lt;&gt;"",INDEX(IHZ_HAZ_TEXTUALREF,75,1)&lt;&gt;"",INDEX(IHZ_HAZ_TOTAMOUNT,75,1)&lt;&gt;""))</f>
        <v>1</v>
      </c>
      <c r="H82" t="str">
        <f t="shared" si="2"/>
        <v>Row 75 - All mandatory fields must be given</v>
      </c>
      <c r="I82" t="s">
        <v>1391</v>
      </c>
      <c r="J82" t="b">
        <f>IF(OR(INDEX(OHZ_HAZ_CONSIGNMENT,75,1)="",AND(INDEX(OHZ_HAZ_DPGREF,75,1)&lt;&gt;"",INDEX(OHZ_HAZ_CONSIGNMENT,75,1)=INDEX(OHZ_HAZ_CONSIGNMENT,74,1),INDEX(OHZ_HAZ_DPGREF,75,1)=INDEX(OHZ_HAZ_DPGREF,74,1))),TRUE,AND(INDEX(OHZ_HAZ_DGCLASSIFI,75,1)&lt;&gt;"",INDEX(OHZ_HAZ_TEXTUALREF,75,1)&lt;&gt;"",INDEX(OHZ_HAZ_TOTAMOUNT,75,1)&lt;&gt;""))</f>
        <v>1</v>
      </c>
      <c r="K82" t="str">
        <f t="shared" si="3"/>
        <v>Row 75 - All mandatory fields must be given</v>
      </c>
      <c r="L82" t="s">
        <v>1391</v>
      </c>
      <c r="T82" t="s">
        <v>1683</v>
      </c>
    </row>
    <row r="83" spans="1:20" x14ac:dyDescent="0.25">
      <c r="A83" t="b">
        <f>OR(INDEX(SEC_SHIP_ACTIVITY,1,1)="",COUNTIF(REF_ACTIVITY,INDEX(SEC_SHIP_ACTIVITY,1,1))=1)</f>
        <v>1</v>
      </c>
      <c r="B83" t="s">
        <v>2020</v>
      </c>
      <c r="D83" t="e">
        <f>OR(INDEX(WAS_ITE_REMAINING,30,1)="",COUNTIF(REF_LOCODES,INDEX(WAS_ITE_REMAINING,30,1))&lt;&gt;0)</f>
        <v>#NAME?</v>
      </c>
      <c r="F83" t="s">
        <v>1391</v>
      </c>
      <c r="G83" t="b">
        <f>IF(OR(INDEX(IHZ_HAZ_CONSIGNMENT,76,1)="",AND(INDEX(IHZ_HAZ_DPGREF,76,1)&lt;&gt;"",INDEX(IHZ_HAZ_CONSIGNMENT,76,1)=INDEX(IHZ_HAZ_CONSIGNMENT,75,1),INDEX(IHZ_HAZ_DPGREF,76,1)=INDEX(IHZ_HAZ_DPGREF,75,1))),TRUE,AND(INDEX(IHZ_HAZ_DGCLASSIFI,76,1)&lt;&gt;"",INDEX(IHZ_HAZ_TEXTUALREF,76,1)&lt;&gt;"",INDEX(IHZ_HAZ_TOTAMOUNT,76,1)&lt;&gt;""))</f>
        <v>1</v>
      </c>
      <c r="H83" t="str">
        <f t="shared" si="2"/>
        <v>Row 76 - All mandatory fields must be given</v>
      </c>
      <c r="I83" t="s">
        <v>1391</v>
      </c>
      <c r="J83" t="b">
        <f>IF(OR(INDEX(OHZ_HAZ_CONSIGNMENT,76,1)="",AND(INDEX(OHZ_HAZ_DPGREF,76,1)&lt;&gt;"",INDEX(OHZ_HAZ_CONSIGNMENT,76,1)=INDEX(OHZ_HAZ_CONSIGNMENT,75,1),INDEX(OHZ_HAZ_DPGREF,76,1)=INDEX(OHZ_HAZ_DPGREF,75,1))),TRUE,AND(INDEX(OHZ_HAZ_DGCLASSIFI,76,1)&lt;&gt;"",INDEX(OHZ_HAZ_TEXTUALREF,76,1)&lt;&gt;"",INDEX(OHZ_HAZ_TOTAMOUNT,76,1)&lt;&gt;""))</f>
        <v>1</v>
      </c>
      <c r="K83" t="str">
        <f t="shared" si="3"/>
        <v>Row 76 - All mandatory fields must be given</v>
      </c>
      <c r="L83" t="s">
        <v>1391</v>
      </c>
      <c r="T83" t="s">
        <v>1684</v>
      </c>
    </row>
    <row r="84" spans="1:20" x14ac:dyDescent="0.25">
      <c r="A84" t="b">
        <f>OR(INDEX(SEC_SHIP_MEASURESYORN,1,1)="None",INDEX(SEC_SHIP_MEASURESYORN,1,1)="Yes")</f>
        <v>1</v>
      </c>
      <c r="B84" t="s">
        <v>2038</v>
      </c>
      <c r="D84" t="e">
        <f>OR(INDEX(WAS_ITE_REMAINING,31,1)="",COUNTIF(REF_LOCODES,INDEX(WAS_ITE_REMAINING,31,1))&lt;&gt;0)</f>
        <v>#NAME?</v>
      </c>
      <c r="F84" t="s">
        <v>1391</v>
      </c>
      <c r="G84" t="b">
        <f>IF(OR(INDEX(IHZ_HAZ_CONSIGNMENT,77,1)="",AND(INDEX(IHZ_HAZ_DPGREF,77,1)&lt;&gt;"",INDEX(IHZ_HAZ_CONSIGNMENT,77,1)=INDEX(IHZ_HAZ_CONSIGNMENT,76,1),INDEX(IHZ_HAZ_DPGREF,77,1)=INDEX(IHZ_HAZ_DPGREF,76,1))),TRUE,AND(INDEX(IHZ_HAZ_DGCLASSIFI,77,1)&lt;&gt;"",INDEX(IHZ_HAZ_TEXTUALREF,77,1)&lt;&gt;"",INDEX(IHZ_HAZ_TOTAMOUNT,77,1)&lt;&gt;""))</f>
        <v>1</v>
      </c>
      <c r="H84" t="str">
        <f t="shared" si="2"/>
        <v>Row 77 - All mandatory fields must be given</v>
      </c>
      <c r="I84" t="s">
        <v>1391</v>
      </c>
      <c r="J84" t="b">
        <f>IF(OR(INDEX(OHZ_HAZ_CONSIGNMENT,77,1)="",AND(INDEX(OHZ_HAZ_DPGREF,77,1)&lt;&gt;"",INDEX(OHZ_HAZ_CONSIGNMENT,77,1)=INDEX(OHZ_HAZ_CONSIGNMENT,76,1),INDEX(OHZ_HAZ_DPGREF,77,1)=INDEX(OHZ_HAZ_DPGREF,76,1))),TRUE,AND(INDEX(OHZ_HAZ_DGCLASSIFI,77,1)&lt;&gt;"",INDEX(OHZ_HAZ_TEXTUALREF,77,1)&lt;&gt;"",INDEX(OHZ_HAZ_TOTAMOUNT,77,1)&lt;&gt;""))</f>
        <v>1</v>
      </c>
      <c r="K84" t="str">
        <f t="shared" si="3"/>
        <v>Row 77 - All mandatory fields must be given</v>
      </c>
      <c r="L84" t="s">
        <v>1391</v>
      </c>
      <c r="T84" t="s">
        <v>1685</v>
      </c>
    </row>
    <row r="85" spans="1:20" x14ac:dyDescent="0.25">
      <c r="A85" t="b">
        <f>SUMPRODUCT(--(LEN(SEC_SHIP_SECURITYME))&gt;256)=0</f>
        <v>1</v>
      </c>
      <c r="B85" t="s">
        <v>2019</v>
      </c>
      <c r="D85" t="e">
        <f>OR(INDEX(WAS_ITE_REMAINING,32,1)="",COUNTIF(REF_LOCODES,INDEX(WAS_ITE_REMAINING,32,1))&lt;&gt;0)</f>
        <v>#NAME?</v>
      </c>
      <c r="F85" t="s">
        <v>1391</v>
      </c>
      <c r="G85" t="b">
        <f>IF(OR(INDEX(IHZ_HAZ_CONSIGNMENT,78,1)="",AND(INDEX(IHZ_HAZ_DPGREF,78,1)&lt;&gt;"",INDEX(IHZ_HAZ_CONSIGNMENT,78,1)=INDEX(IHZ_HAZ_CONSIGNMENT,77,1),INDEX(IHZ_HAZ_DPGREF,78,1)=INDEX(IHZ_HAZ_DPGREF,77,1))),TRUE,AND(INDEX(IHZ_HAZ_DGCLASSIFI,78,1)&lt;&gt;"",INDEX(IHZ_HAZ_TEXTUALREF,78,1)&lt;&gt;"",INDEX(IHZ_HAZ_TOTAMOUNT,78,1)&lt;&gt;""))</f>
        <v>1</v>
      </c>
      <c r="H85" t="str">
        <f t="shared" si="2"/>
        <v>Row 78 - All mandatory fields must be given</v>
      </c>
      <c r="I85" t="s">
        <v>1391</v>
      </c>
      <c r="J85" t="b">
        <f>IF(OR(INDEX(OHZ_HAZ_CONSIGNMENT,78,1)="",AND(INDEX(OHZ_HAZ_DPGREF,78,1)&lt;&gt;"",INDEX(OHZ_HAZ_CONSIGNMENT,78,1)=INDEX(OHZ_HAZ_CONSIGNMENT,77,1),INDEX(OHZ_HAZ_DPGREF,78,1)=INDEX(OHZ_HAZ_DPGREF,77,1))),TRUE,AND(INDEX(OHZ_HAZ_DGCLASSIFI,78,1)&lt;&gt;"",INDEX(OHZ_HAZ_TEXTUALREF,78,1)&lt;&gt;"",INDEX(OHZ_HAZ_TOTAMOUNT,78,1)&lt;&gt;""))</f>
        <v>1</v>
      </c>
      <c r="K85" t="str">
        <f t="shared" si="3"/>
        <v>Row 78 - All mandatory fields must be given</v>
      </c>
      <c r="L85" t="s">
        <v>1391</v>
      </c>
      <c r="T85" t="s">
        <v>1686</v>
      </c>
    </row>
    <row r="86" spans="1:20" x14ac:dyDescent="0.25">
      <c r="D86" t="e">
        <f>OR(INDEX(WAS_ITE_REMAINING,33,1)="",COUNTIF(REF_LOCODES,INDEX(WAS_ITE_REMAINING,33,1))&lt;&gt;0)</f>
        <v>#NAME?</v>
      </c>
      <c r="F86" t="s">
        <v>1391</v>
      </c>
      <c r="G86" t="b">
        <f>IF(OR(INDEX(IHZ_HAZ_CONSIGNMENT,79,1)="",AND(INDEX(IHZ_HAZ_DPGREF,79,1)&lt;&gt;"",INDEX(IHZ_HAZ_CONSIGNMENT,79,1)=INDEX(IHZ_HAZ_CONSIGNMENT,78,1),INDEX(IHZ_HAZ_DPGREF,79,1)=INDEX(IHZ_HAZ_DPGREF,78,1))),TRUE,AND(INDEX(IHZ_HAZ_DGCLASSIFI,79,1)&lt;&gt;"",INDEX(IHZ_HAZ_TEXTUALREF,79,1)&lt;&gt;"",INDEX(IHZ_HAZ_TOTAMOUNT,79,1)&lt;&gt;""))</f>
        <v>1</v>
      </c>
      <c r="H86" t="str">
        <f t="shared" si="2"/>
        <v>Row 79 - All mandatory fields must be given</v>
      </c>
      <c r="I86" t="s">
        <v>1391</v>
      </c>
      <c r="J86" t="b">
        <f>IF(OR(INDEX(OHZ_HAZ_CONSIGNMENT,79,1)="",AND(INDEX(OHZ_HAZ_DPGREF,79,1)&lt;&gt;"",INDEX(OHZ_HAZ_CONSIGNMENT,79,1)=INDEX(OHZ_HAZ_CONSIGNMENT,78,1),INDEX(OHZ_HAZ_DPGREF,79,1)=INDEX(OHZ_HAZ_DPGREF,78,1))),TRUE,AND(INDEX(OHZ_HAZ_DGCLASSIFI,79,1)&lt;&gt;"",INDEX(OHZ_HAZ_TEXTUALREF,79,1)&lt;&gt;"",INDEX(OHZ_HAZ_TOTAMOUNT,79,1)&lt;&gt;""))</f>
        <v>1</v>
      </c>
      <c r="K86" t="str">
        <f t="shared" si="3"/>
        <v>Row 79 - All mandatory fields must be given</v>
      </c>
      <c r="L86" t="s">
        <v>1391</v>
      </c>
      <c r="T86" t="s">
        <v>1687</v>
      </c>
    </row>
    <row r="87" spans="1:20" x14ac:dyDescent="0.25">
      <c r="A87" t="b">
        <f>INDEX(SEC_LAST_DATEOFARRI,1,1)&lt;=INDEX(SEC_LAST_DATEOFDEPT,1,1)</f>
        <v>1</v>
      </c>
      <c r="B87" t="s">
        <v>1944</v>
      </c>
      <c r="D87" t="e">
        <f>OR(INDEX(WAS_ITE_REMAINING,34,1)="",COUNTIF(REF_LOCODES,INDEX(WAS_ITE_REMAINING,34,1))&lt;&gt;0)</f>
        <v>#NAME?</v>
      </c>
      <c r="F87" t="s">
        <v>1391</v>
      </c>
      <c r="G87" t="b">
        <f>IF(OR(INDEX(IHZ_HAZ_CONSIGNMENT,80,1)="",AND(INDEX(IHZ_HAZ_DPGREF,80,1)&lt;&gt;"",INDEX(IHZ_HAZ_CONSIGNMENT,80,1)=INDEX(IHZ_HAZ_CONSIGNMENT,79,1),INDEX(IHZ_HAZ_DPGREF,80,1)=INDEX(IHZ_HAZ_DPGREF,79,1))),TRUE,AND(INDEX(IHZ_HAZ_DGCLASSIFI,80,1)&lt;&gt;"",INDEX(IHZ_HAZ_TEXTUALREF,80,1)&lt;&gt;"",INDEX(IHZ_HAZ_TOTAMOUNT,80,1)&lt;&gt;""))</f>
        <v>1</v>
      </c>
      <c r="H87" t="str">
        <f t="shared" si="2"/>
        <v>Row 80 - All mandatory fields must be given</v>
      </c>
      <c r="I87" t="s">
        <v>1391</v>
      </c>
      <c r="J87" t="b">
        <f>IF(OR(INDEX(OHZ_HAZ_CONSIGNMENT,80,1)="",AND(INDEX(OHZ_HAZ_DPGREF,80,1)&lt;&gt;"",INDEX(OHZ_HAZ_CONSIGNMENT,80,1)=INDEX(OHZ_HAZ_CONSIGNMENT,79,1),INDEX(OHZ_HAZ_DPGREF,80,1)=INDEX(OHZ_HAZ_DPGREF,79,1))),TRUE,AND(INDEX(OHZ_HAZ_DGCLASSIFI,80,1)&lt;&gt;"",INDEX(OHZ_HAZ_TEXTUALREF,80,1)&lt;&gt;"",INDEX(OHZ_HAZ_TOTAMOUNT,80,1)&lt;&gt;""))</f>
        <v>1</v>
      </c>
      <c r="K87" t="str">
        <f t="shared" si="3"/>
        <v>Row 80 - All mandatory fields must be given</v>
      </c>
      <c r="L87" t="s">
        <v>1391</v>
      </c>
      <c r="T87" t="s">
        <v>1688</v>
      </c>
    </row>
    <row r="88" spans="1:20" x14ac:dyDescent="0.25">
      <c r="A88" t="b">
        <f>INDEX(SEC_LAST_DATEOFARRI,2,1)&lt;=INDEX(SEC_LAST_DATEOFDEPT,2,1)</f>
        <v>1</v>
      </c>
      <c r="B88" t="s">
        <v>1945</v>
      </c>
      <c r="D88" t="e">
        <f>OR(INDEX(WAS_ITE_REMAINING,35,1)="",COUNTIF(REF_LOCODES,INDEX(WAS_ITE_REMAINING,35,1))&lt;&gt;0)</f>
        <v>#NAME?</v>
      </c>
      <c r="F88" t="s">
        <v>1391</v>
      </c>
      <c r="G88" t="b">
        <f>IF(OR(INDEX(IHZ_HAZ_CONSIGNMENT,81,1)="",AND(INDEX(IHZ_HAZ_DPGREF,81,1)&lt;&gt;"",INDEX(IHZ_HAZ_CONSIGNMENT,81,1)=INDEX(IHZ_HAZ_CONSIGNMENT,80,1),INDEX(IHZ_HAZ_DPGREF,81,1)=INDEX(IHZ_HAZ_DPGREF,80,1))),TRUE,AND(INDEX(IHZ_HAZ_DGCLASSIFI,81,1)&lt;&gt;"",INDEX(IHZ_HAZ_TEXTUALREF,81,1)&lt;&gt;"",INDEX(IHZ_HAZ_TOTAMOUNT,81,1)&lt;&gt;""))</f>
        <v>1</v>
      </c>
      <c r="H88" t="str">
        <f t="shared" si="2"/>
        <v>Row 81 - All mandatory fields must be given</v>
      </c>
      <c r="I88" t="s">
        <v>1391</v>
      </c>
      <c r="J88" t="b">
        <f>IF(OR(INDEX(OHZ_HAZ_CONSIGNMENT,81,1)="",AND(INDEX(OHZ_HAZ_DPGREF,81,1)&lt;&gt;"",INDEX(OHZ_HAZ_CONSIGNMENT,81,1)=INDEX(OHZ_HAZ_CONSIGNMENT,80,1),INDEX(OHZ_HAZ_DPGREF,81,1)=INDEX(OHZ_HAZ_DPGREF,80,1))),TRUE,AND(INDEX(OHZ_HAZ_DGCLASSIFI,81,1)&lt;&gt;"",INDEX(OHZ_HAZ_TEXTUALREF,81,1)&lt;&gt;"",INDEX(OHZ_HAZ_TOTAMOUNT,81,1)&lt;&gt;""))</f>
        <v>1</v>
      </c>
      <c r="K88" t="str">
        <f t="shared" si="3"/>
        <v>Row 81 - All mandatory fields must be given</v>
      </c>
      <c r="L88" t="s">
        <v>1391</v>
      </c>
      <c r="T88" t="s">
        <v>1689</v>
      </c>
    </row>
    <row r="89" spans="1:20" x14ac:dyDescent="0.25">
      <c r="A89" t="b">
        <f>INDEX(SEC_LAST_DATEOFARRI,3,1)&lt;=INDEX(SEC_LAST_DATEOFDEPT,3,1)</f>
        <v>1</v>
      </c>
      <c r="B89" t="s">
        <v>1946</v>
      </c>
      <c r="D89" t="e">
        <f>OR(INDEX(WAS_ITE_REMAINING,36,1)="",COUNTIF(REF_LOCODES,INDEX(WAS_ITE_REMAINING,36,1))&lt;&gt;0)</f>
        <v>#NAME?</v>
      </c>
      <c r="F89" t="s">
        <v>1391</v>
      </c>
      <c r="G89" t="b">
        <f>IF(OR(INDEX(IHZ_HAZ_CONSIGNMENT,82,1)="",AND(INDEX(IHZ_HAZ_DPGREF,82,1)&lt;&gt;"",INDEX(IHZ_HAZ_CONSIGNMENT,82,1)=INDEX(IHZ_HAZ_CONSIGNMENT,81,1),INDEX(IHZ_HAZ_DPGREF,82,1)=INDEX(IHZ_HAZ_DPGREF,81,1))),TRUE,AND(INDEX(IHZ_HAZ_DGCLASSIFI,82,1)&lt;&gt;"",INDEX(IHZ_HAZ_TEXTUALREF,82,1)&lt;&gt;"",INDEX(IHZ_HAZ_TOTAMOUNT,82,1)&lt;&gt;""))</f>
        <v>1</v>
      </c>
      <c r="H89" t="str">
        <f t="shared" si="2"/>
        <v>Row 82 - All mandatory fields must be given</v>
      </c>
      <c r="I89" t="s">
        <v>1391</v>
      </c>
      <c r="J89" t="b">
        <f>IF(OR(INDEX(OHZ_HAZ_CONSIGNMENT,82,1)="",AND(INDEX(OHZ_HAZ_DPGREF,82,1)&lt;&gt;"",INDEX(OHZ_HAZ_CONSIGNMENT,82,1)=INDEX(OHZ_HAZ_CONSIGNMENT,81,1),INDEX(OHZ_HAZ_DPGREF,82,1)=INDEX(OHZ_HAZ_DPGREF,81,1))),TRUE,AND(INDEX(OHZ_HAZ_DGCLASSIFI,82,1)&lt;&gt;"",INDEX(OHZ_HAZ_TEXTUALREF,82,1)&lt;&gt;"",INDEX(OHZ_HAZ_TOTAMOUNT,82,1)&lt;&gt;""))</f>
        <v>1</v>
      </c>
      <c r="K89" t="str">
        <f t="shared" si="3"/>
        <v>Row 82 - All mandatory fields must be given</v>
      </c>
      <c r="L89" t="s">
        <v>1391</v>
      </c>
      <c r="T89" t="s">
        <v>1690</v>
      </c>
    </row>
    <row r="90" spans="1:20" x14ac:dyDescent="0.25">
      <c r="A90" t="b">
        <f>INDEX(SEC_LAST_DATEOFARRI,4,1)&lt;=INDEX(SEC_LAST_DATEOFDEPT,4,1)</f>
        <v>1</v>
      </c>
      <c r="B90" t="s">
        <v>1947</v>
      </c>
      <c r="D90" t="e">
        <f>OR(INDEX(WAS_ITE_REMAINING,37,1)="",COUNTIF(REF_LOCODES,INDEX(WAS_ITE_REMAINING,37,1))&lt;&gt;0)</f>
        <v>#NAME?</v>
      </c>
      <c r="F90" t="s">
        <v>1391</v>
      </c>
      <c r="G90" t="b">
        <f>IF(OR(INDEX(IHZ_HAZ_CONSIGNMENT,83,1)="",AND(INDEX(IHZ_HAZ_DPGREF,83,1)&lt;&gt;"",INDEX(IHZ_HAZ_CONSIGNMENT,83,1)=INDEX(IHZ_HAZ_CONSIGNMENT,82,1),INDEX(IHZ_HAZ_DPGREF,83,1)=INDEX(IHZ_HAZ_DPGREF,82,1))),TRUE,AND(INDEX(IHZ_HAZ_DGCLASSIFI,83,1)&lt;&gt;"",INDEX(IHZ_HAZ_TEXTUALREF,83,1)&lt;&gt;"",INDEX(IHZ_HAZ_TOTAMOUNT,83,1)&lt;&gt;""))</f>
        <v>1</v>
      </c>
      <c r="H90" t="str">
        <f t="shared" si="2"/>
        <v>Row 83 - All mandatory fields must be given</v>
      </c>
      <c r="I90" t="s">
        <v>1391</v>
      </c>
      <c r="J90" t="b">
        <f>IF(OR(INDEX(OHZ_HAZ_CONSIGNMENT,83,1)="",AND(INDEX(OHZ_HAZ_DPGREF,83,1)&lt;&gt;"",INDEX(OHZ_HAZ_CONSIGNMENT,83,1)=INDEX(OHZ_HAZ_CONSIGNMENT,82,1),INDEX(OHZ_HAZ_DPGREF,83,1)=INDEX(OHZ_HAZ_DPGREF,82,1))),TRUE,AND(INDEX(OHZ_HAZ_DGCLASSIFI,83,1)&lt;&gt;"",INDEX(OHZ_HAZ_TEXTUALREF,83,1)&lt;&gt;"",INDEX(OHZ_HAZ_TOTAMOUNT,83,1)&lt;&gt;""))</f>
        <v>1</v>
      </c>
      <c r="K90" t="str">
        <f t="shared" si="3"/>
        <v>Row 83 - All mandatory fields must be given</v>
      </c>
      <c r="L90" t="s">
        <v>1391</v>
      </c>
      <c r="T90" t="s">
        <v>1691</v>
      </c>
    </row>
    <row r="91" spans="1:20" x14ac:dyDescent="0.25">
      <c r="A91" t="b">
        <f>INDEX(SEC_LAST_DATEOFARRI,5,1)&lt;=INDEX(SEC_LAST_DATEOFDEPT,5,1)</f>
        <v>1</v>
      </c>
      <c r="B91" t="s">
        <v>1948</v>
      </c>
      <c r="D91" t="e">
        <f>OR(INDEX(WAS_ITE_REMAINING,38,1)="",COUNTIF(REF_LOCODES,INDEX(WAS_ITE_REMAINING,38,1))&lt;&gt;0)</f>
        <v>#NAME?</v>
      </c>
      <c r="F91" t="s">
        <v>1391</v>
      </c>
      <c r="G91" t="b">
        <f>IF(OR(INDEX(IHZ_HAZ_CONSIGNMENT,84,1)="",AND(INDEX(IHZ_HAZ_DPGREF,84,1)&lt;&gt;"",INDEX(IHZ_HAZ_CONSIGNMENT,84,1)=INDEX(IHZ_HAZ_CONSIGNMENT,83,1),INDEX(IHZ_HAZ_DPGREF,84,1)=INDEX(IHZ_HAZ_DPGREF,83,1))),TRUE,AND(INDEX(IHZ_HAZ_DGCLASSIFI,84,1)&lt;&gt;"",INDEX(IHZ_HAZ_TEXTUALREF,84,1)&lt;&gt;"",INDEX(IHZ_HAZ_TOTAMOUNT,84,1)&lt;&gt;""))</f>
        <v>1</v>
      </c>
      <c r="H91" t="str">
        <f t="shared" si="2"/>
        <v>Row 84 - All mandatory fields must be given</v>
      </c>
      <c r="I91" t="s">
        <v>1391</v>
      </c>
      <c r="J91" t="b">
        <f>IF(OR(INDEX(OHZ_HAZ_CONSIGNMENT,84,1)="",AND(INDEX(OHZ_HAZ_DPGREF,84,1)&lt;&gt;"",INDEX(OHZ_HAZ_CONSIGNMENT,84,1)=INDEX(OHZ_HAZ_CONSIGNMENT,83,1),INDEX(OHZ_HAZ_DPGREF,84,1)=INDEX(OHZ_HAZ_DPGREF,83,1))),TRUE,AND(INDEX(OHZ_HAZ_DGCLASSIFI,84,1)&lt;&gt;"",INDEX(OHZ_HAZ_TEXTUALREF,84,1)&lt;&gt;"",INDEX(OHZ_HAZ_TOTAMOUNT,84,1)&lt;&gt;""))</f>
        <v>1</v>
      </c>
      <c r="K91" t="str">
        <f t="shared" si="3"/>
        <v>Row 84 - All mandatory fields must be given</v>
      </c>
      <c r="L91" t="s">
        <v>1391</v>
      </c>
      <c r="T91" t="s">
        <v>1692</v>
      </c>
    </row>
    <row r="92" spans="1:20" x14ac:dyDescent="0.25">
      <c r="A92" t="b">
        <f>INDEX(SEC_LAST_DATEOFARRI,6,1)&lt;=INDEX(SEC_LAST_DATEOFDEPT,6,1)</f>
        <v>1</v>
      </c>
      <c r="B92" t="s">
        <v>1949</v>
      </c>
      <c r="D92" t="e">
        <f>OR(INDEX(WAS_ITE_REMAINING,39,1)="",COUNTIF(REF_LOCODES,INDEX(WAS_ITE_REMAINING,39,1))&lt;&gt;0)</f>
        <v>#NAME?</v>
      </c>
      <c r="F92" t="s">
        <v>1391</v>
      </c>
      <c r="G92" t="b">
        <f>IF(OR(INDEX(IHZ_HAZ_CONSIGNMENT,85,1)="",AND(INDEX(IHZ_HAZ_DPGREF,85,1)&lt;&gt;"",INDEX(IHZ_HAZ_CONSIGNMENT,85,1)=INDEX(IHZ_HAZ_CONSIGNMENT,84,1),INDEX(IHZ_HAZ_DPGREF,85,1)=INDEX(IHZ_HAZ_DPGREF,84,1))),TRUE,AND(INDEX(IHZ_HAZ_DGCLASSIFI,85,1)&lt;&gt;"",INDEX(IHZ_HAZ_TEXTUALREF,85,1)&lt;&gt;"",INDEX(IHZ_HAZ_TOTAMOUNT,85,1)&lt;&gt;""))</f>
        <v>1</v>
      </c>
      <c r="H92" t="str">
        <f t="shared" si="2"/>
        <v>Row 85 - All mandatory fields must be given</v>
      </c>
      <c r="I92" t="s">
        <v>1391</v>
      </c>
      <c r="J92" t="b">
        <f>IF(OR(INDEX(OHZ_HAZ_CONSIGNMENT,85,1)="",AND(INDEX(OHZ_HAZ_DPGREF,85,1)&lt;&gt;"",INDEX(OHZ_HAZ_CONSIGNMENT,85,1)=INDEX(OHZ_HAZ_CONSIGNMENT,84,1),INDEX(OHZ_HAZ_DPGREF,85,1)=INDEX(OHZ_HAZ_DPGREF,84,1))),TRUE,AND(INDEX(OHZ_HAZ_DGCLASSIFI,85,1)&lt;&gt;"",INDEX(OHZ_HAZ_TEXTUALREF,85,1)&lt;&gt;"",INDEX(OHZ_HAZ_TOTAMOUNT,85,1)&lt;&gt;""))</f>
        <v>1</v>
      </c>
      <c r="K92" t="str">
        <f t="shared" si="3"/>
        <v>Row 85 - All mandatory fields must be given</v>
      </c>
      <c r="L92" t="s">
        <v>1391</v>
      </c>
      <c r="T92" t="s">
        <v>1693</v>
      </c>
    </row>
    <row r="93" spans="1:20" x14ac:dyDescent="0.25">
      <c r="A93" t="b">
        <f>INDEX(SEC_LAST_DATEOFARRI,7,1)&lt;=INDEX(SEC_LAST_DATEOFDEPT,7,1)</f>
        <v>1</v>
      </c>
      <c r="B93" t="s">
        <v>1950</v>
      </c>
      <c r="D93" t="e">
        <f>OR(INDEX(WAS_ITE_REMAINING,40,1)="",COUNTIF(REF_LOCODES,INDEX(WAS_ITE_REMAINING,40,1))&lt;&gt;0)</f>
        <v>#NAME?</v>
      </c>
      <c r="F93" t="s">
        <v>1391</v>
      </c>
      <c r="G93" t="b">
        <f>IF(OR(INDEX(IHZ_HAZ_CONSIGNMENT,86,1)="",AND(INDEX(IHZ_HAZ_DPGREF,86,1)&lt;&gt;"",INDEX(IHZ_HAZ_CONSIGNMENT,86,1)=INDEX(IHZ_HAZ_CONSIGNMENT,85,1),INDEX(IHZ_HAZ_DPGREF,86,1)=INDEX(IHZ_HAZ_DPGREF,85,1))),TRUE,AND(INDEX(IHZ_HAZ_DGCLASSIFI,86,1)&lt;&gt;"",INDEX(IHZ_HAZ_TEXTUALREF,86,1)&lt;&gt;"",INDEX(IHZ_HAZ_TOTAMOUNT,86,1)&lt;&gt;""))</f>
        <v>1</v>
      </c>
      <c r="H93" t="str">
        <f t="shared" si="2"/>
        <v>Row 86 - All mandatory fields must be given</v>
      </c>
      <c r="I93" t="s">
        <v>1391</v>
      </c>
      <c r="J93" t="b">
        <f>IF(OR(INDEX(OHZ_HAZ_CONSIGNMENT,86,1)="",AND(INDEX(OHZ_HAZ_DPGREF,86,1)&lt;&gt;"",INDEX(OHZ_HAZ_CONSIGNMENT,86,1)=INDEX(OHZ_HAZ_CONSIGNMENT,85,1),INDEX(OHZ_HAZ_DPGREF,86,1)=INDEX(OHZ_HAZ_DPGREF,85,1))),TRUE,AND(INDEX(OHZ_HAZ_DGCLASSIFI,86,1)&lt;&gt;"",INDEX(OHZ_HAZ_TEXTUALREF,86,1)&lt;&gt;"",INDEX(OHZ_HAZ_TOTAMOUNT,86,1)&lt;&gt;""))</f>
        <v>1</v>
      </c>
      <c r="K93" t="str">
        <f t="shared" si="3"/>
        <v>Row 86 - All mandatory fields must be given</v>
      </c>
      <c r="L93" t="s">
        <v>1391</v>
      </c>
      <c r="T93" t="s">
        <v>1694</v>
      </c>
    </row>
    <row r="94" spans="1:20" x14ac:dyDescent="0.25">
      <c r="A94" t="b">
        <f>INDEX(SEC_LAST_DATEOFARRI,8,1)&lt;=INDEX(SEC_LAST_DATEOFDEPT,8,1)</f>
        <v>1</v>
      </c>
      <c r="B94" t="s">
        <v>1951</v>
      </c>
      <c r="D94" t="e">
        <f>OR(INDEX(WAS_ITE_REMAINING,41,1)="",COUNTIF(REF_LOCODES,INDEX(WAS_ITE_REMAINING,41,1))&lt;&gt;0)</f>
        <v>#NAME?</v>
      </c>
      <c r="F94" t="s">
        <v>1391</v>
      </c>
      <c r="G94" t="b">
        <f>IF(OR(INDEX(IHZ_HAZ_CONSIGNMENT,87,1)="",AND(INDEX(IHZ_HAZ_DPGREF,87,1)&lt;&gt;"",INDEX(IHZ_HAZ_CONSIGNMENT,87,1)=INDEX(IHZ_HAZ_CONSIGNMENT,86,1),INDEX(IHZ_HAZ_DPGREF,87,1)=INDEX(IHZ_HAZ_DPGREF,86,1))),TRUE,AND(INDEX(IHZ_HAZ_DGCLASSIFI,87,1)&lt;&gt;"",INDEX(IHZ_HAZ_TEXTUALREF,87,1)&lt;&gt;"",INDEX(IHZ_HAZ_TOTAMOUNT,87,1)&lt;&gt;""))</f>
        <v>1</v>
      </c>
      <c r="H94" t="str">
        <f t="shared" si="2"/>
        <v>Row 87 - All mandatory fields must be given</v>
      </c>
      <c r="I94" t="s">
        <v>1391</v>
      </c>
      <c r="J94" t="b">
        <f>IF(OR(INDEX(OHZ_HAZ_CONSIGNMENT,87,1)="",AND(INDEX(OHZ_HAZ_DPGREF,87,1)&lt;&gt;"",INDEX(OHZ_HAZ_CONSIGNMENT,87,1)=INDEX(OHZ_HAZ_CONSIGNMENT,86,1),INDEX(OHZ_HAZ_DPGREF,87,1)=INDEX(OHZ_HAZ_DPGREF,86,1))),TRUE,AND(INDEX(OHZ_HAZ_DGCLASSIFI,87,1)&lt;&gt;"",INDEX(OHZ_HAZ_TEXTUALREF,87,1)&lt;&gt;"",INDEX(OHZ_HAZ_TOTAMOUNT,87,1)&lt;&gt;""))</f>
        <v>1</v>
      </c>
      <c r="K94" t="str">
        <f t="shared" si="3"/>
        <v>Row 87 - All mandatory fields must be given</v>
      </c>
      <c r="L94" t="s">
        <v>1391</v>
      </c>
      <c r="T94" t="s">
        <v>1695</v>
      </c>
    </row>
    <row r="95" spans="1:20" x14ac:dyDescent="0.25">
      <c r="A95" t="b">
        <f>INDEX(SEC_LAST_DATEOFARRI,9,1)&lt;=INDEX(SEC_LAST_DATEOFDEPT,9,1)</f>
        <v>1</v>
      </c>
      <c r="B95" t="s">
        <v>1952</v>
      </c>
      <c r="F95" t="s">
        <v>1391</v>
      </c>
      <c r="G95" t="b">
        <f>IF(OR(INDEX(IHZ_HAZ_CONSIGNMENT,88,1)="",AND(INDEX(IHZ_HAZ_DPGREF,88,1)&lt;&gt;"",INDEX(IHZ_HAZ_CONSIGNMENT,88,1)=INDEX(IHZ_HAZ_CONSIGNMENT,87,1),INDEX(IHZ_HAZ_DPGREF,88,1)=INDEX(IHZ_HAZ_DPGREF,87,1))),TRUE,AND(INDEX(IHZ_HAZ_DGCLASSIFI,88,1)&lt;&gt;"",INDEX(IHZ_HAZ_TEXTUALREF,88,1)&lt;&gt;"",INDEX(IHZ_HAZ_TOTAMOUNT,88,1)&lt;&gt;""))</f>
        <v>1</v>
      </c>
      <c r="H95" t="str">
        <f t="shared" si="2"/>
        <v>Row 88 - All mandatory fields must be given</v>
      </c>
      <c r="I95" t="s">
        <v>1391</v>
      </c>
      <c r="J95" t="b">
        <f>IF(OR(INDEX(OHZ_HAZ_CONSIGNMENT,88,1)="",AND(INDEX(OHZ_HAZ_DPGREF,88,1)&lt;&gt;"",INDEX(OHZ_HAZ_CONSIGNMENT,88,1)=INDEX(OHZ_HAZ_CONSIGNMENT,87,1),INDEX(OHZ_HAZ_DPGREF,88,1)=INDEX(OHZ_HAZ_DPGREF,87,1))),TRUE,AND(INDEX(OHZ_HAZ_DGCLASSIFI,88,1)&lt;&gt;"",INDEX(OHZ_HAZ_TEXTUALREF,88,1)&lt;&gt;"",INDEX(OHZ_HAZ_TOTAMOUNT,88,1)&lt;&gt;""))</f>
        <v>1</v>
      </c>
      <c r="K95" t="str">
        <f t="shared" si="3"/>
        <v>Row 88 - All mandatory fields must be given</v>
      </c>
      <c r="L95" t="s">
        <v>1391</v>
      </c>
      <c r="T95" t="s">
        <v>1696</v>
      </c>
    </row>
    <row r="96" spans="1:20" x14ac:dyDescent="0.25">
      <c r="A96" t="b">
        <f>INDEX(SEC_LAST_DATEOFARRI,10,1)&lt;=INDEX(SEC_LAST_DATEOFDEPT,10,1)</f>
        <v>1</v>
      </c>
      <c r="B96" t="s">
        <v>1953</v>
      </c>
      <c r="D96" t="e">
        <f>OR(INDEX(WAS_ITE_REMAINING,43,1)="",COUNTIF(REF_LOCODES,INDEX(WAS_ITE_REMAINING,43,1))&lt;&gt;0)</f>
        <v>#NAME?</v>
      </c>
      <c r="F96" t="s">
        <v>1391</v>
      </c>
      <c r="G96" t="b">
        <f>IF(OR(INDEX(IHZ_HAZ_CONSIGNMENT,89,1)="",AND(INDEX(IHZ_HAZ_DPGREF,89,1)&lt;&gt;"",INDEX(IHZ_HAZ_CONSIGNMENT,89,1)=INDEX(IHZ_HAZ_CONSIGNMENT,88,1),INDEX(IHZ_HAZ_DPGREF,89,1)=INDEX(IHZ_HAZ_DPGREF,88,1))),TRUE,AND(INDEX(IHZ_HAZ_DGCLASSIFI,89,1)&lt;&gt;"",INDEX(IHZ_HAZ_TEXTUALREF,89,1)&lt;&gt;"",INDEX(IHZ_HAZ_TOTAMOUNT,89,1)&lt;&gt;""))</f>
        <v>1</v>
      </c>
      <c r="H96" t="str">
        <f t="shared" si="2"/>
        <v>Row 89 - All mandatory fields must be given</v>
      </c>
      <c r="I96" t="s">
        <v>1391</v>
      </c>
      <c r="J96" t="b">
        <f>IF(OR(INDEX(OHZ_HAZ_CONSIGNMENT,89,1)="",AND(INDEX(OHZ_HAZ_DPGREF,89,1)&lt;&gt;"",INDEX(OHZ_HAZ_CONSIGNMENT,89,1)=INDEX(OHZ_HAZ_CONSIGNMENT,88,1),INDEX(OHZ_HAZ_DPGREF,89,1)=INDEX(OHZ_HAZ_DPGREF,88,1))),TRUE,AND(INDEX(OHZ_HAZ_DGCLASSIFI,89,1)&lt;&gt;"",INDEX(OHZ_HAZ_TEXTUALREF,89,1)&lt;&gt;"",INDEX(OHZ_HAZ_TOTAMOUNT,89,1)&lt;&gt;""))</f>
        <v>1</v>
      </c>
      <c r="K96" t="str">
        <f t="shared" si="3"/>
        <v>Row 89 - All mandatory fields must be given</v>
      </c>
      <c r="L96" t="s">
        <v>1391</v>
      </c>
      <c r="T96" t="s">
        <v>1697</v>
      </c>
    </row>
    <row r="97" spans="1:20" x14ac:dyDescent="0.25">
      <c r="D97" t="e">
        <f>OR(INDEX(WAS_ITE_REMAINING,44,1)="",COUNTIF(REF_LOCODES,INDEX(WAS_ITE_REMAINING,44,1))&lt;&gt;0)</f>
        <v>#NAME?</v>
      </c>
      <c r="F97" t="s">
        <v>1391</v>
      </c>
      <c r="G97" t="b">
        <f>IF(OR(INDEX(IHZ_HAZ_CONSIGNMENT,90,1)="",AND(INDEX(IHZ_HAZ_DPGREF,90,1)&lt;&gt;"",INDEX(IHZ_HAZ_CONSIGNMENT,90,1)=INDEX(IHZ_HAZ_CONSIGNMENT,89,1),INDEX(IHZ_HAZ_DPGREF,90,1)=INDEX(IHZ_HAZ_DPGREF,89,1))),TRUE,AND(INDEX(IHZ_HAZ_DGCLASSIFI,90,1)&lt;&gt;"",INDEX(IHZ_HAZ_TEXTUALREF,90,1)&lt;&gt;"",INDEX(IHZ_HAZ_TOTAMOUNT,90,1)&lt;&gt;""))</f>
        <v>1</v>
      </c>
      <c r="H97" t="str">
        <f t="shared" si="2"/>
        <v>Row 90 - All mandatory fields must be given</v>
      </c>
      <c r="I97" t="s">
        <v>1391</v>
      </c>
      <c r="J97" t="b">
        <f>IF(OR(INDEX(OHZ_HAZ_CONSIGNMENT,90,1)="",AND(INDEX(OHZ_HAZ_DPGREF,90,1)&lt;&gt;"",INDEX(OHZ_HAZ_CONSIGNMENT,90,1)=INDEX(OHZ_HAZ_CONSIGNMENT,89,1),INDEX(OHZ_HAZ_DPGREF,90,1)=INDEX(OHZ_HAZ_DPGREF,89,1))),TRUE,AND(INDEX(OHZ_HAZ_DGCLASSIFI,90,1)&lt;&gt;"",INDEX(OHZ_HAZ_TEXTUALREF,90,1)&lt;&gt;"",INDEX(OHZ_HAZ_TOTAMOUNT,90,1)&lt;&gt;""))</f>
        <v>1</v>
      </c>
      <c r="K97" t="str">
        <f t="shared" si="3"/>
        <v>Row 90 - All mandatory fields must be given</v>
      </c>
      <c r="L97" t="s">
        <v>1391</v>
      </c>
      <c r="T97" t="s">
        <v>1698</v>
      </c>
    </row>
    <row r="98" spans="1:20" x14ac:dyDescent="0.25">
      <c r="A98" t="b">
        <f>IF(SEC_ISSC_ISVALID="TRUE",INDEX(SEC_ISSC_REASON,1,1)="",TRUE)</f>
        <v>1</v>
      </c>
      <c r="B98" t="s">
        <v>2011</v>
      </c>
      <c r="D98" t="e">
        <f>OR(INDEX(WAS_ITE_REMAINING,45,1)="",COUNTIF(REF_LOCODES,INDEX(WAS_ITE_REMAINING,45,1))&lt;&gt;0)</f>
        <v>#NAME?</v>
      </c>
      <c r="F98" t="s">
        <v>1391</v>
      </c>
      <c r="G98" t="b">
        <f>IF(OR(INDEX(IHZ_HAZ_CONSIGNMENT,91,1)="",AND(INDEX(IHZ_HAZ_DPGREF,91,1)&lt;&gt;"",INDEX(IHZ_HAZ_CONSIGNMENT,91,1)=INDEX(IHZ_HAZ_CONSIGNMENT,90,1),INDEX(IHZ_HAZ_DPGREF,91,1)=INDEX(IHZ_HAZ_DPGREF,90,1))),TRUE,AND(INDEX(IHZ_HAZ_DGCLASSIFI,91,1)&lt;&gt;"",INDEX(IHZ_HAZ_TEXTUALREF,91,1)&lt;&gt;"",INDEX(IHZ_HAZ_TOTAMOUNT,91,1)&lt;&gt;""))</f>
        <v>1</v>
      </c>
      <c r="H98" t="str">
        <f t="shared" si="2"/>
        <v>Row 91 - All mandatory fields must be given</v>
      </c>
      <c r="I98" t="s">
        <v>1391</v>
      </c>
      <c r="J98" t="b">
        <f>IF(OR(INDEX(OHZ_HAZ_CONSIGNMENT,91,1)="",AND(INDEX(OHZ_HAZ_DPGREF,91,1)&lt;&gt;"",INDEX(OHZ_HAZ_CONSIGNMENT,91,1)=INDEX(OHZ_HAZ_CONSIGNMENT,90,1),INDEX(OHZ_HAZ_DPGREF,91,1)=INDEX(OHZ_HAZ_DPGREF,90,1))),TRUE,AND(INDEX(OHZ_HAZ_DGCLASSIFI,91,1)&lt;&gt;"",INDEX(OHZ_HAZ_TEXTUALREF,91,1)&lt;&gt;"",INDEX(OHZ_HAZ_TOTAMOUNT,91,1)&lt;&gt;""))</f>
        <v>1</v>
      </c>
      <c r="K98" t="str">
        <f t="shared" si="3"/>
        <v>Row 91 - All mandatory fields must be given</v>
      </c>
      <c r="L98" t="s">
        <v>1391</v>
      </c>
      <c r="T98" t="s">
        <v>1699</v>
      </c>
    </row>
    <row r="99" spans="1:20" x14ac:dyDescent="0.25">
      <c r="D99" t="e">
        <f>OR(INDEX(WAS_ITE_REMAINING,46,1)="",COUNTIF(REF_LOCODES,INDEX(WAS_ITE_REMAINING,46,1))&lt;&gt;0)</f>
        <v>#NAME?</v>
      </c>
      <c r="F99" t="s">
        <v>1391</v>
      </c>
      <c r="G99" t="b">
        <f>IF(OR(INDEX(IHZ_HAZ_CONSIGNMENT,92,1)="",AND(INDEX(IHZ_HAZ_DPGREF,92,1)&lt;&gt;"",INDEX(IHZ_HAZ_CONSIGNMENT,92,1)=INDEX(IHZ_HAZ_CONSIGNMENT,91,1),INDEX(IHZ_HAZ_DPGREF,92,1)=INDEX(IHZ_HAZ_DPGREF,91,1))),TRUE,AND(INDEX(IHZ_HAZ_DGCLASSIFI,92,1)&lt;&gt;"",INDEX(IHZ_HAZ_TEXTUALREF,92,1)&lt;&gt;"",INDEX(IHZ_HAZ_TOTAMOUNT,92,1)&lt;&gt;""))</f>
        <v>1</v>
      </c>
      <c r="H99" t="str">
        <f t="shared" si="2"/>
        <v>Row 92 - All mandatory fields must be given</v>
      </c>
      <c r="I99" t="s">
        <v>1391</v>
      </c>
      <c r="J99" t="b">
        <f>IF(OR(INDEX(OHZ_HAZ_CONSIGNMENT,92,1)="",AND(INDEX(OHZ_HAZ_DPGREF,92,1)&lt;&gt;"",INDEX(OHZ_HAZ_CONSIGNMENT,92,1)=INDEX(OHZ_HAZ_CONSIGNMENT,91,1),INDEX(OHZ_HAZ_DPGREF,92,1)=INDEX(OHZ_HAZ_DPGREF,91,1))),TRUE,AND(INDEX(OHZ_HAZ_DGCLASSIFI,92,1)&lt;&gt;"",INDEX(OHZ_HAZ_TEXTUALREF,92,1)&lt;&gt;"",INDEX(OHZ_HAZ_TOTAMOUNT,92,1)&lt;&gt;""))</f>
        <v>1</v>
      </c>
      <c r="K99" t="str">
        <f t="shared" si="3"/>
        <v>Row 92 - All mandatory fields must be given</v>
      </c>
      <c r="L99" t="s">
        <v>1391</v>
      </c>
      <c r="T99" t="s">
        <v>1700</v>
      </c>
    </row>
    <row r="100" spans="1:20" x14ac:dyDescent="0.25">
      <c r="D100" t="b">
        <f>OR(WAS_OVE_STATUS="",WAS_OVE_STATUS="NONE",SUM(WAS_ITE_DELIVERED,WAS_ITE_MAXSTORAG,WAS_ITE_RETAINED,WAS_ITE_GENERATED)&lt;&gt;0)</f>
        <v>1</v>
      </c>
      <c r="E100" t="s">
        <v>2037</v>
      </c>
      <c r="F100" t="s">
        <v>1391</v>
      </c>
      <c r="G100" t="b">
        <f>IF(OR(INDEX(IHZ_HAZ_CONSIGNMENT,93,1)="",AND(INDEX(IHZ_HAZ_DPGREF,93,1)&lt;&gt;"",INDEX(IHZ_HAZ_CONSIGNMENT,93,1)=INDEX(IHZ_HAZ_CONSIGNMENT,92,1),INDEX(IHZ_HAZ_DPGREF,93,1)=INDEX(IHZ_HAZ_DPGREF,92,1))),TRUE,AND(INDEX(IHZ_HAZ_DGCLASSIFI,93,1)&lt;&gt;"",INDEX(IHZ_HAZ_TEXTUALREF,93,1)&lt;&gt;"",INDEX(IHZ_HAZ_TOTAMOUNT,93,1)&lt;&gt;""))</f>
        <v>1</v>
      </c>
      <c r="H100" t="str">
        <f t="shared" si="2"/>
        <v>Row 93 - All mandatory fields must be given</v>
      </c>
      <c r="I100" t="s">
        <v>1391</v>
      </c>
      <c r="J100" t="b">
        <f>IF(OR(INDEX(OHZ_HAZ_CONSIGNMENT,93,1)="",AND(INDEX(OHZ_HAZ_DPGREF,93,1)&lt;&gt;"",INDEX(OHZ_HAZ_CONSIGNMENT,93,1)=INDEX(OHZ_HAZ_CONSIGNMENT,92,1),INDEX(OHZ_HAZ_DPGREF,93,1)=INDEX(OHZ_HAZ_DPGREF,92,1))),TRUE,AND(INDEX(OHZ_HAZ_DGCLASSIFI,93,1)&lt;&gt;"",INDEX(OHZ_HAZ_TEXTUALREF,93,1)&lt;&gt;"",INDEX(OHZ_HAZ_TOTAMOUNT,93,1)&lt;&gt;""))</f>
        <v>1</v>
      </c>
      <c r="K100" t="str">
        <f t="shared" si="3"/>
        <v>Row 93 - All mandatory fields must be given</v>
      </c>
      <c r="L100" t="s">
        <v>1391</v>
      </c>
      <c r="T100" t="s">
        <v>1701</v>
      </c>
    </row>
    <row r="101" spans="1:20" x14ac:dyDescent="0.25">
      <c r="F101" t="s">
        <v>1391</v>
      </c>
      <c r="G101" t="b">
        <f>IF(OR(INDEX(IHZ_HAZ_CONSIGNMENT,94,1)="",AND(INDEX(IHZ_HAZ_DPGREF,94,1)&lt;&gt;"",INDEX(IHZ_HAZ_CONSIGNMENT,94,1)=INDEX(IHZ_HAZ_CONSIGNMENT,93,1),INDEX(IHZ_HAZ_DPGREF,94,1)=INDEX(IHZ_HAZ_DPGREF,93,1))),TRUE,AND(INDEX(IHZ_HAZ_DGCLASSIFI,94,1)&lt;&gt;"",INDEX(IHZ_HAZ_TEXTUALREF,94,1)&lt;&gt;"",INDEX(IHZ_HAZ_TOTAMOUNT,94,1)&lt;&gt;""))</f>
        <v>1</v>
      </c>
      <c r="H101" t="str">
        <f t="shared" si="2"/>
        <v>Row 94 - All mandatory fields must be given</v>
      </c>
      <c r="I101" t="s">
        <v>1391</v>
      </c>
      <c r="J101" t="b">
        <f>IF(OR(INDEX(OHZ_HAZ_CONSIGNMENT,94,1)="",AND(INDEX(OHZ_HAZ_DPGREF,94,1)&lt;&gt;"",INDEX(OHZ_HAZ_CONSIGNMENT,94,1)=INDEX(OHZ_HAZ_CONSIGNMENT,93,1),INDEX(OHZ_HAZ_DPGREF,94,1)=INDEX(OHZ_HAZ_DPGREF,93,1))),TRUE,AND(INDEX(OHZ_HAZ_DGCLASSIFI,94,1)&lt;&gt;"",INDEX(OHZ_HAZ_TEXTUALREF,94,1)&lt;&gt;"",INDEX(OHZ_HAZ_TOTAMOUNT,94,1)&lt;&gt;""))</f>
        <v>1</v>
      </c>
      <c r="K101" t="str">
        <f t="shared" si="3"/>
        <v>Row 94 - All mandatory fields must be given</v>
      </c>
      <c r="L101" t="s">
        <v>1391</v>
      </c>
      <c r="T101" t="s">
        <v>1702</v>
      </c>
    </row>
    <row r="102" spans="1:20" x14ac:dyDescent="0.25">
      <c r="F102" t="s">
        <v>1391</v>
      </c>
      <c r="G102" t="b">
        <f>IF(OR(INDEX(IHZ_HAZ_CONSIGNMENT,95,1)="",AND(INDEX(IHZ_HAZ_DPGREF,95,1)&lt;&gt;"",INDEX(IHZ_HAZ_CONSIGNMENT,95,1)=INDEX(IHZ_HAZ_CONSIGNMENT,94,1),INDEX(IHZ_HAZ_DPGREF,95,1)=INDEX(IHZ_HAZ_DPGREF,94,1))),TRUE,AND(INDEX(IHZ_HAZ_DGCLASSIFI,95,1)&lt;&gt;"",INDEX(IHZ_HAZ_TEXTUALREF,95,1)&lt;&gt;"",INDEX(IHZ_HAZ_TOTAMOUNT,95,1)&lt;&gt;""))</f>
        <v>1</v>
      </c>
      <c r="H102" t="str">
        <f t="shared" si="2"/>
        <v>Row 95 - All mandatory fields must be given</v>
      </c>
      <c r="I102" t="s">
        <v>1391</v>
      </c>
      <c r="J102" t="b">
        <f>IF(OR(INDEX(OHZ_HAZ_CONSIGNMENT,95,1)="",AND(INDEX(OHZ_HAZ_DPGREF,95,1)&lt;&gt;"",INDEX(OHZ_HAZ_CONSIGNMENT,95,1)=INDEX(OHZ_HAZ_CONSIGNMENT,94,1),INDEX(OHZ_HAZ_DPGREF,95,1)=INDEX(OHZ_HAZ_DPGREF,94,1))),TRUE,AND(INDEX(OHZ_HAZ_DGCLASSIFI,95,1)&lt;&gt;"",INDEX(OHZ_HAZ_TEXTUALREF,95,1)&lt;&gt;"",INDEX(OHZ_HAZ_TOTAMOUNT,95,1)&lt;&gt;""))</f>
        <v>1</v>
      </c>
      <c r="K102" t="str">
        <f t="shared" si="3"/>
        <v>Row 95 - All mandatory fields must be given</v>
      </c>
      <c r="L102" t="s">
        <v>1391</v>
      </c>
      <c r="T102" t="s">
        <v>1703</v>
      </c>
    </row>
    <row r="103" spans="1:20" x14ac:dyDescent="0.25">
      <c r="F103" t="s">
        <v>1391</v>
      </c>
      <c r="G103" t="b">
        <f>IF(OR(INDEX(IHZ_HAZ_CONSIGNMENT,96,1)="",AND(INDEX(IHZ_HAZ_DPGREF,96,1)&lt;&gt;"",INDEX(IHZ_HAZ_CONSIGNMENT,96,1)=INDEX(IHZ_HAZ_CONSIGNMENT,95,1),INDEX(IHZ_HAZ_DPGREF,96,1)=INDEX(IHZ_HAZ_DPGREF,95,1))),TRUE,AND(INDEX(IHZ_HAZ_DGCLASSIFI,96,1)&lt;&gt;"",INDEX(IHZ_HAZ_TEXTUALREF,96,1)&lt;&gt;"",INDEX(IHZ_HAZ_TOTAMOUNT,96,1)&lt;&gt;""))</f>
        <v>1</v>
      </c>
      <c r="H103" t="str">
        <f t="shared" si="2"/>
        <v>Row 96 - All mandatory fields must be given</v>
      </c>
      <c r="I103" t="s">
        <v>1391</v>
      </c>
      <c r="J103" t="b">
        <f>IF(OR(INDEX(OHZ_HAZ_CONSIGNMENT,96,1)="",AND(INDEX(OHZ_HAZ_DPGREF,96,1)&lt;&gt;"",INDEX(OHZ_HAZ_CONSIGNMENT,96,1)=INDEX(OHZ_HAZ_CONSIGNMENT,95,1),INDEX(OHZ_HAZ_DPGREF,96,1)=INDEX(OHZ_HAZ_DPGREF,95,1))),TRUE,AND(INDEX(OHZ_HAZ_DGCLASSIFI,96,1)&lt;&gt;"",INDEX(OHZ_HAZ_TEXTUALREF,96,1)&lt;&gt;"",INDEX(OHZ_HAZ_TOTAMOUNT,96,1)&lt;&gt;""))</f>
        <v>1</v>
      </c>
      <c r="K103" t="str">
        <f t="shared" si="3"/>
        <v>Row 96 - All mandatory fields must be given</v>
      </c>
      <c r="L103" t="s">
        <v>1391</v>
      </c>
      <c r="T103" t="s">
        <v>1704</v>
      </c>
    </row>
    <row r="104" spans="1:20" x14ac:dyDescent="0.25">
      <c r="F104" t="s">
        <v>1391</v>
      </c>
      <c r="G104" t="b">
        <f>IF(OR(INDEX(IHZ_HAZ_CONSIGNMENT,97,1)="",AND(INDEX(IHZ_HAZ_DPGREF,97,1)&lt;&gt;"",INDEX(IHZ_HAZ_CONSIGNMENT,97,1)=INDEX(IHZ_HAZ_CONSIGNMENT,96,1),INDEX(IHZ_HAZ_DPGREF,97,1)=INDEX(IHZ_HAZ_DPGREF,96,1))),TRUE,AND(INDEX(IHZ_HAZ_DGCLASSIFI,97,1)&lt;&gt;"",INDEX(IHZ_HAZ_TEXTUALREF,97,1)&lt;&gt;"",INDEX(IHZ_HAZ_TOTAMOUNT,97,1)&lt;&gt;""))</f>
        <v>1</v>
      </c>
      <c r="H104" t="str">
        <f t="shared" si="2"/>
        <v>Row 97 - All mandatory fields must be given</v>
      </c>
      <c r="I104" t="s">
        <v>1391</v>
      </c>
      <c r="J104" t="b">
        <f>IF(OR(INDEX(OHZ_HAZ_CONSIGNMENT,97,1)="",AND(INDEX(OHZ_HAZ_DPGREF,97,1)&lt;&gt;"",INDEX(OHZ_HAZ_CONSIGNMENT,97,1)=INDEX(OHZ_HAZ_CONSIGNMENT,96,1),INDEX(OHZ_HAZ_DPGREF,97,1)=INDEX(OHZ_HAZ_DPGREF,96,1))),TRUE,AND(INDEX(OHZ_HAZ_DGCLASSIFI,97,1)&lt;&gt;"",INDEX(OHZ_HAZ_TEXTUALREF,97,1)&lt;&gt;"",INDEX(OHZ_HAZ_TOTAMOUNT,97,1)&lt;&gt;""))</f>
        <v>1</v>
      </c>
      <c r="K104" t="str">
        <f t="shared" si="3"/>
        <v>Row 97 - All mandatory fields must be given</v>
      </c>
      <c r="L104" t="s">
        <v>1391</v>
      </c>
      <c r="T104" t="s">
        <v>1705</v>
      </c>
    </row>
    <row r="105" spans="1:20" x14ac:dyDescent="0.25">
      <c r="F105" t="s">
        <v>1391</v>
      </c>
      <c r="G105" t="b">
        <f>IF(OR(INDEX(IHZ_HAZ_CONSIGNMENT,98,1)="",AND(INDEX(IHZ_HAZ_DPGREF,98,1)&lt;&gt;"",INDEX(IHZ_HAZ_CONSIGNMENT,98,1)=INDEX(IHZ_HAZ_CONSIGNMENT,97,1),INDEX(IHZ_HAZ_DPGREF,98,1)=INDEX(IHZ_HAZ_DPGREF,97,1))),TRUE,AND(INDEX(IHZ_HAZ_DGCLASSIFI,98,1)&lt;&gt;"",INDEX(IHZ_HAZ_TEXTUALREF,98,1)&lt;&gt;"",INDEX(IHZ_HAZ_TOTAMOUNT,98,1)&lt;&gt;""))</f>
        <v>1</v>
      </c>
      <c r="H105" t="str">
        <f t="shared" si="2"/>
        <v>Row 98 - All mandatory fields must be given</v>
      </c>
      <c r="I105" t="s">
        <v>1391</v>
      </c>
      <c r="J105" t="b">
        <f>IF(OR(INDEX(OHZ_HAZ_CONSIGNMENT,98,1)="",AND(INDEX(OHZ_HAZ_DPGREF,98,1)&lt;&gt;"",INDEX(OHZ_HAZ_CONSIGNMENT,98,1)=INDEX(OHZ_HAZ_CONSIGNMENT,97,1),INDEX(OHZ_HAZ_DPGREF,98,1)=INDEX(OHZ_HAZ_DPGREF,97,1))),TRUE,AND(INDEX(OHZ_HAZ_DGCLASSIFI,98,1)&lt;&gt;"",INDEX(OHZ_HAZ_TEXTUALREF,98,1)&lt;&gt;"",INDEX(OHZ_HAZ_TOTAMOUNT,98,1)&lt;&gt;""))</f>
        <v>1</v>
      </c>
      <c r="K105" t="str">
        <f t="shared" si="3"/>
        <v>Row 98 - All mandatory fields must be given</v>
      </c>
      <c r="L105" t="s">
        <v>1391</v>
      </c>
      <c r="T105" t="s">
        <v>1706</v>
      </c>
    </row>
    <row r="106" spans="1:20" x14ac:dyDescent="0.25">
      <c r="D106" t="e">
        <f>OR(WAS_LOC_LOCODE="",COUNTIF(REF_LOCODES,WAS_LOC_LOCODE)&gt;0)</f>
        <v>#NAME?</v>
      </c>
      <c r="E106" t="s">
        <v>1524</v>
      </c>
      <c r="F106" t="s">
        <v>1391</v>
      </c>
      <c r="G106" t="b">
        <f>IF(OR(INDEX(IHZ_HAZ_CONSIGNMENT,99,1)="",AND(INDEX(IHZ_HAZ_DPGREF,99,1)&lt;&gt;"",INDEX(IHZ_HAZ_CONSIGNMENT,99,1)=INDEX(IHZ_HAZ_CONSIGNMENT,98,1),INDEX(IHZ_HAZ_DPGREF,99,1)=INDEX(IHZ_HAZ_DPGREF,98,1))),TRUE,AND(INDEX(IHZ_HAZ_DGCLASSIFI,99,1)&lt;&gt;"",INDEX(IHZ_HAZ_TEXTUALREF,99,1)&lt;&gt;"",INDEX(IHZ_HAZ_TOTAMOUNT,99,1)&lt;&gt;""))</f>
        <v>1</v>
      </c>
      <c r="H106" t="str">
        <f t="shared" si="2"/>
        <v>Row 99 - All mandatory fields must be given</v>
      </c>
      <c r="I106" t="s">
        <v>1391</v>
      </c>
      <c r="J106" t="b">
        <f>IF(OR(INDEX(OHZ_HAZ_CONSIGNMENT,99,1)="",AND(INDEX(OHZ_HAZ_DPGREF,99,1)&lt;&gt;"",INDEX(OHZ_HAZ_CONSIGNMENT,99,1)=INDEX(OHZ_HAZ_CONSIGNMENT,98,1),INDEX(OHZ_HAZ_DPGREF,99,1)=INDEX(OHZ_HAZ_DPGREF,98,1))),TRUE,AND(INDEX(OHZ_HAZ_DGCLASSIFI,99,1)&lt;&gt;"",INDEX(OHZ_HAZ_TEXTUALREF,99,1)&lt;&gt;"",INDEX(OHZ_HAZ_TOTAMOUNT,99,1)&lt;&gt;""))</f>
        <v>1</v>
      </c>
      <c r="K106" t="str">
        <f t="shared" si="3"/>
        <v>Row 99 - All mandatory fields must be given</v>
      </c>
      <c r="L106" t="s">
        <v>1391</v>
      </c>
      <c r="T106" t="s">
        <v>1707</v>
      </c>
    </row>
    <row r="107" spans="1:20" x14ac:dyDescent="0.25">
      <c r="F107" t="s">
        <v>1391</v>
      </c>
      <c r="G107" t="b">
        <f>IF(OR(INDEX(IHZ_HAZ_CONSIGNMENT,100,1)="",AND(INDEX(IHZ_HAZ_DPGREF,100,1)&lt;&gt;"",INDEX(IHZ_HAZ_CONSIGNMENT,100,1)=INDEX(IHZ_HAZ_CONSIGNMENT,99,1),INDEX(IHZ_HAZ_DPGREF,100,1)=INDEX(IHZ_HAZ_DPGREF,99,1))),TRUE,AND(INDEX(IHZ_HAZ_DGCLASSIFI,100,1)&lt;&gt;"",INDEX(IHZ_HAZ_TEXTUALREF,100,1)&lt;&gt;"",INDEX(IHZ_HAZ_TOTAMOUNT,100,1)&lt;&gt;""))</f>
        <v>1</v>
      </c>
      <c r="H107" t="str">
        <f t="shared" si="2"/>
        <v>Row 100 - All mandatory fields must be given</v>
      </c>
      <c r="I107" t="s">
        <v>1391</v>
      </c>
      <c r="J107" t="b">
        <f>IF(OR(INDEX(OHZ_HAZ_CONSIGNMENT,100,1)="",AND(INDEX(OHZ_HAZ_DPGREF,100,1)&lt;&gt;"",INDEX(OHZ_HAZ_CONSIGNMENT,100,1)=INDEX(OHZ_HAZ_CONSIGNMENT,99,1),INDEX(OHZ_HAZ_DPGREF,100,1)=INDEX(OHZ_HAZ_DPGREF,99,1))),TRUE,AND(INDEX(OHZ_HAZ_DGCLASSIFI,100,1)&lt;&gt;"",INDEX(OHZ_HAZ_TEXTUALREF,100,1)&lt;&gt;"",INDEX(OHZ_HAZ_TOTAMOUNT,100,1)&lt;&gt;""))</f>
        <v>1</v>
      </c>
      <c r="K107" t="str">
        <f t="shared" si="3"/>
        <v>Row 100 - All mandatory fields must be given</v>
      </c>
      <c r="L107" t="s">
        <v>1391</v>
      </c>
      <c r="T107" t="s">
        <v>1708</v>
      </c>
    </row>
    <row r="108" spans="1:20" x14ac:dyDescent="0.25">
      <c r="F108" t="s">
        <v>1391</v>
      </c>
      <c r="G108" t="b">
        <f>IF(OR(INDEX(IHZ_HAZ_CONSIGNMENT,101,1)="",AND(INDEX(IHZ_HAZ_DPGREF,101,1)&lt;&gt;"",INDEX(IHZ_HAZ_CONSIGNMENT,101,1)=INDEX(IHZ_HAZ_CONSIGNMENT,100,1),INDEX(IHZ_HAZ_DPGREF,101,1)=INDEX(IHZ_HAZ_DPGREF,100,1))),TRUE,AND(INDEX(IHZ_HAZ_DGCLASSIFI,101,1)&lt;&gt;"",INDEX(IHZ_HAZ_TEXTUALREF,101,1)&lt;&gt;"",INDEX(IHZ_HAZ_TOTAMOUNT,101,1)&lt;&gt;""))</f>
        <v>1</v>
      </c>
      <c r="H108" t="str">
        <f t="shared" si="2"/>
        <v>Row 101 - All mandatory fields must be given</v>
      </c>
      <c r="I108" t="s">
        <v>1391</v>
      </c>
      <c r="J108" t="b">
        <f>IF(OR(INDEX(OHZ_HAZ_CONSIGNMENT,101,1)="",AND(INDEX(OHZ_HAZ_DPGREF,101,1)&lt;&gt;"",INDEX(OHZ_HAZ_CONSIGNMENT,101,1)=INDEX(OHZ_HAZ_CONSIGNMENT,100,1),INDEX(OHZ_HAZ_DPGREF,101,1)=INDEX(OHZ_HAZ_DPGREF,100,1))),TRUE,AND(INDEX(OHZ_HAZ_DGCLASSIFI,101,1)&lt;&gt;"",INDEX(OHZ_HAZ_TEXTUALREF,101,1)&lt;&gt;"",INDEX(OHZ_HAZ_TOTAMOUNT,101,1)&lt;&gt;""))</f>
        <v>1</v>
      </c>
      <c r="K108" t="str">
        <f t="shared" si="3"/>
        <v>Row 101 - All mandatory fields must be given</v>
      </c>
      <c r="L108" t="s">
        <v>1391</v>
      </c>
      <c r="T108" t="s">
        <v>1709</v>
      </c>
    </row>
    <row r="109" spans="1:20" x14ac:dyDescent="0.25">
      <c r="D109" t="b">
        <f>LEN(WAS_LOC_LOCNAME)&lt;51</f>
        <v>1</v>
      </c>
      <c r="E109" t="s">
        <v>1523</v>
      </c>
      <c r="F109" t="s">
        <v>1391</v>
      </c>
      <c r="G109" t="b">
        <f>IF(OR(INDEX(IHZ_HAZ_CONSIGNMENT,102,1)="",AND(INDEX(IHZ_HAZ_DPGREF,102,1)&lt;&gt;"",INDEX(IHZ_HAZ_CONSIGNMENT,102,1)=INDEX(IHZ_HAZ_CONSIGNMENT,101,1),INDEX(IHZ_HAZ_DPGREF,102,1)=INDEX(IHZ_HAZ_DPGREF,101,1))),TRUE,AND(INDEX(IHZ_HAZ_DGCLASSIFI,102,1)&lt;&gt;"",INDEX(IHZ_HAZ_TEXTUALREF,102,1)&lt;&gt;"",INDEX(IHZ_HAZ_TOTAMOUNT,102,1)&lt;&gt;""))</f>
        <v>1</v>
      </c>
      <c r="H109" t="str">
        <f t="shared" si="2"/>
        <v>Row 102 - All mandatory fields must be given</v>
      </c>
      <c r="I109" t="s">
        <v>1391</v>
      </c>
      <c r="J109" t="b">
        <f>IF(OR(INDEX(OHZ_HAZ_CONSIGNMENT,102,1)="",AND(INDEX(OHZ_HAZ_DPGREF,102,1)&lt;&gt;"",INDEX(OHZ_HAZ_CONSIGNMENT,102,1)=INDEX(OHZ_HAZ_CONSIGNMENT,101,1),INDEX(OHZ_HAZ_DPGREF,102,1)=INDEX(OHZ_HAZ_DPGREF,101,1))),TRUE,AND(INDEX(OHZ_HAZ_DGCLASSIFI,102,1)&lt;&gt;"",INDEX(OHZ_HAZ_TEXTUALREF,102,1)&lt;&gt;"",INDEX(OHZ_HAZ_TOTAMOUNT,102,1)&lt;&gt;""))</f>
        <v>1</v>
      </c>
      <c r="K109" t="str">
        <f t="shared" si="3"/>
        <v>Row 102 - All mandatory fields must be given</v>
      </c>
      <c r="L109" t="s">
        <v>1391</v>
      </c>
      <c r="T109" t="s">
        <v>1710</v>
      </c>
    </row>
    <row r="110" spans="1:20" x14ac:dyDescent="0.25">
      <c r="D110" t="e">
        <f>OR(WAS_OVE_LASTPORT="",COUNTIF(REF_LOCODES,WAS_OVE_LASTPORT)&gt;0)</f>
        <v>#NAME?</v>
      </c>
      <c r="E110" t="s">
        <v>1525</v>
      </c>
      <c r="F110" t="s">
        <v>1391</v>
      </c>
      <c r="G110" t="b">
        <f>IF(OR(INDEX(IHZ_HAZ_CONSIGNMENT,103,1)="",AND(INDEX(IHZ_HAZ_DPGREF,103,1)&lt;&gt;"",INDEX(IHZ_HAZ_CONSIGNMENT,103,1)=INDEX(IHZ_HAZ_CONSIGNMENT,102,1),INDEX(IHZ_HAZ_DPGREF,103,1)=INDEX(IHZ_HAZ_DPGREF,102,1))),TRUE,AND(INDEX(IHZ_HAZ_DGCLASSIFI,103,1)&lt;&gt;"",INDEX(IHZ_HAZ_TEXTUALREF,103,1)&lt;&gt;"",INDEX(IHZ_HAZ_TOTAMOUNT,103,1)&lt;&gt;""))</f>
        <v>1</v>
      </c>
      <c r="H110" t="str">
        <f t="shared" si="2"/>
        <v>Row 103 - All mandatory fields must be given</v>
      </c>
      <c r="I110" t="s">
        <v>1391</v>
      </c>
      <c r="J110" t="b">
        <f>IF(OR(INDEX(OHZ_HAZ_CONSIGNMENT,103,1)="",AND(INDEX(OHZ_HAZ_DPGREF,103,1)&lt;&gt;"",INDEX(OHZ_HAZ_CONSIGNMENT,103,1)=INDEX(OHZ_HAZ_CONSIGNMENT,102,1),INDEX(OHZ_HAZ_DPGREF,103,1)=INDEX(OHZ_HAZ_DPGREF,102,1))),TRUE,AND(INDEX(OHZ_HAZ_DGCLASSIFI,103,1)&lt;&gt;"",INDEX(OHZ_HAZ_TEXTUALREF,103,1)&lt;&gt;"",INDEX(OHZ_HAZ_TOTAMOUNT,103,1)&lt;&gt;""))</f>
        <v>1</v>
      </c>
      <c r="K110" t="str">
        <f t="shared" si="3"/>
        <v>Row 103 - All mandatory fields must be given</v>
      </c>
      <c r="L110" t="s">
        <v>1391</v>
      </c>
      <c r="T110" t="s">
        <v>1711</v>
      </c>
    </row>
    <row r="111" spans="1:20" x14ac:dyDescent="0.25">
      <c r="F111" t="s">
        <v>1391</v>
      </c>
      <c r="G111" t="b">
        <f>IF(OR(INDEX(IHZ_HAZ_CONSIGNMENT,104,1)="",AND(INDEX(IHZ_HAZ_DPGREF,104,1)&lt;&gt;"",INDEX(IHZ_HAZ_CONSIGNMENT,104,1)=INDEX(IHZ_HAZ_CONSIGNMENT,103,1),INDEX(IHZ_HAZ_DPGREF,104,1)=INDEX(IHZ_HAZ_DPGREF,103,1))),TRUE,AND(INDEX(IHZ_HAZ_DGCLASSIFI,104,1)&lt;&gt;"",INDEX(IHZ_HAZ_TEXTUALREF,104,1)&lt;&gt;"",INDEX(IHZ_HAZ_TOTAMOUNT,104,1)&lt;&gt;""))</f>
        <v>1</v>
      </c>
      <c r="H111" t="str">
        <f t="shared" si="2"/>
        <v>Row 104 - All mandatory fields must be given</v>
      </c>
      <c r="I111" t="s">
        <v>1391</v>
      </c>
      <c r="J111" t="b">
        <f>IF(OR(INDEX(OHZ_HAZ_CONSIGNMENT,104,1)="",AND(INDEX(OHZ_HAZ_DPGREF,104,1)&lt;&gt;"",INDEX(OHZ_HAZ_CONSIGNMENT,104,1)=INDEX(OHZ_HAZ_CONSIGNMENT,103,1),INDEX(OHZ_HAZ_DPGREF,104,1)=INDEX(OHZ_HAZ_DPGREF,103,1))),TRUE,AND(INDEX(OHZ_HAZ_DGCLASSIFI,104,1)&lt;&gt;"",INDEX(OHZ_HAZ_TEXTUALREF,104,1)&lt;&gt;"",INDEX(OHZ_HAZ_TOTAMOUNT,104,1)&lt;&gt;""))</f>
        <v>1</v>
      </c>
      <c r="K111" t="str">
        <f t="shared" si="3"/>
        <v>Row 104 - All mandatory fields must be given</v>
      </c>
      <c r="L111" t="s">
        <v>1391</v>
      </c>
      <c r="T111" t="s">
        <v>1712</v>
      </c>
    </row>
    <row r="112" spans="1:20" x14ac:dyDescent="0.25">
      <c r="D112" t="b">
        <f>COUNTIF(Waste_delivery_status,WAS_OVE_STATUS)=1</f>
        <v>0</v>
      </c>
      <c r="E112" t="s">
        <v>1529</v>
      </c>
      <c r="F112" t="s">
        <v>1391</v>
      </c>
      <c r="G112" t="b">
        <f>IF(OR(INDEX(IHZ_HAZ_CONSIGNMENT,105,1)="",AND(INDEX(IHZ_HAZ_DPGREF,105,1)&lt;&gt;"",INDEX(IHZ_HAZ_CONSIGNMENT,105,1)=INDEX(IHZ_HAZ_CONSIGNMENT,104,1),INDEX(IHZ_HAZ_DPGREF,105,1)=INDEX(IHZ_HAZ_DPGREF,104,1))),TRUE,AND(INDEX(IHZ_HAZ_DGCLASSIFI,105,1)&lt;&gt;"",INDEX(IHZ_HAZ_TEXTUALREF,105,1)&lt;&gt;"",INDEX(IHZ_HAZ_TOTAMOUNT,105,1)&lt;&gt;""))</f>
        <v>1</v>
      </c>
      <c r="H112" t="str">
        <f t="shared" si="2"/>
        <v>Row 105 - All mandatory fields must be given</v>
      </c>
      <c r="I112" t="s">
        <v>1391</v>
      </c>
      <c r="J112" t="b">
        <f>IF(OR(INDEX(OHZ_HAZ_CONSIGNMENT,105,1)="",AND(INDEX(OHZ_HAZ_DPGREF,105,1)&lt;&gt;"",INDEX(OHZ_HAZ_CONSIGNMENT,105,1)=INDEX(OHZ_HAZ_CONSIGNMENT,104,1),INDEX(OHZ_HAZ_DPGREF,105,1)=INDEX(OHZ_HAZ_DPGREF,104,1))),TRUE,AND(INDEX(OHZ_HAZ_DGCLASSIFI,105,1)&lt;&gt;"",INDEX(OHZ_HAZ_TEXTUALREF,105,1)&lt;&gt;"",INDEX(OHZ_HAZ_TOTAMOUNT,105,1)&lt;&gt;""))</f>
        <v>1</v>
      </c>
      <c r="K112" t="str">
        <f t="shared" si="3"/>
        <v>Row 105 - All mandatory fields must be given</v>
      </c>
      <c r="L112" t="s">
        <v>1391</v>
      </c>
      <c r="T112" t="s">
        <v>1713</v>
      </c>
    </row>
    <row r="113" spans="4:20" x14ac:dyDescent="0.25">
      <c r="D113" t="b">
        <f>SUMPRODUCT(--(LEN(WAS_ITE_TYPEDESCRI)&gt;255))=0</f>
        <v>1</v>
      </c>
      <c r="E113" t="s">
        <v>1527</v>
      </c>
      <c r="F113" t="s">
        <v>1391</v>
      </c>
      <c r="G113" t="b">
        <f>IF(OR(INDEX(IHZ_HAZ_CONSIGNMENT,106,1)="",AND(INDEX(IHZ_HAZ_DPGREF,106,1)&lt;&gt;"",INDEX(IHZ_HAZ_CONSIGNMENT,106,1)=INDEX(IHZ_HAZ_CONSIGNMENT,105,1),INDEX(IHZ_HAZ_DPGREF,106,1)=INDEX(IHZ_HAZ_DPGREF,105,1))),TRUE,AND(INDEX(IHZ_HAZ_DGCLASSIFI,106,1)&lt;&gt;"",INDEX(IHZ_HAZ_TEXTUALREF,106,1)&lt;&gt;"",INDEX(IHZ_HAZ_TOTAMOUNT,106,1)&lt;&gt;""))</f>
        <v>1</v>
      </c>
      <c r="H113" t="str">
        <f t="shared" si="2"/>
        <v>Row 106 - All mandatory fields must be given</v>
      </c>
      <c r="I113" t="s">
        <v>1391</v>
      </c>
      <c r="J113" t="b">
        <f>IF(OR(INDEX(OHZ_HAZ_CONSIGNMENT,106,1)="",AND(INDEX(OHZ_HAZ_DPGREF,106,1)&lt;&gt;"",INDEX(OHZ_HAZ_CONSIGNMENT,106,1)=INDEX(OHZ_HAZ_CONSIGNMENT,105,1),INDEX(OHZ_HAZ_DPGREF,106,1)=INDEX(OHZ_HAZ_DPGREF,105,1))),TRUE,AND(INDEX(OHZ_HAZ_DGCLASSIFI,106,1)&lt;&gt;"",INDEX(OHZ_HAZ_TEXTUALREF,106,1)&lt;&gt;"",INDEX(OHZ_HAZ_TOTAMOUNT,106,1)&lt;&gt;""))</f>
        <v>1</v>
      </c>
      <c r="K113" t="str">
        <f t="shared" si="3"/>
        <v>Row 106 - All mandatory fields must be given</v>
      </c>
      <c r="L113" t="s">
        <v>1391</v>
      </c>
      <c r="T113" t="s">
        <v>1714</v>
      </c>
    </row>
    <row r="114" spans="4:20" x14ac:dyDescent="0.25">
      <c r="D114" t="b">
        <f>IF(OR(ISBLANK(SUM(WAS_ITE_MAXSTORAG)),AND(ISNUMBER(SUM(WAS_ITE_MAXSTORAG)),LEN(SUM(WAS_ITE_MAXSTORAG))-(IF(ISNUMBER(SEARCH(".",SUM(WAS_ITE_MAXSTORAG))),SEARCH(".",SUM(WAS_ITE_MAXSTORAG)),LEN(SUM(WAS_ITE_MAXSTORAG))))&lt;=3,SUM(WAS_ITE_MAXSTORAG)&lt;=9999999)),TRUE(),FALSE())</f>
        <v>1</v>
      </c>
      <c r="E114" t="s">
        <v>1526</v>
      </c>
      <c r="F114" t="s">
        <v>1391</v>
      </c>
      <c r="G114" t="b">
        <f>IF(OR(INDEX(IHZ_HAZ_CONSIGNMENT,107,1)="",AND(INDEX(IHZ_HAZ_DPGREF,107,1)&lt;&gt;"",INDEX(IHZ_HAZ_CONSIGNMENT,107,1)=INDEX(IHZ_HAZ_CONSIGNMENT,106,1),INDEX(IHZ_HAZ_DPGREF,107,1)=INDEX(IHZ_HAZ_DPGREF,106,1))),TRUE,AND(INDEX(IHZ_HAZ_DGCLASSIFI,107,1)&lt;&gt;"",INDEX(IHZ_HAZ_TEXTUALREF,107,1)&lt;&gt;"",INDEX(IHZ_HAZ_TOTAMOUNT,107,1)&lt;&gt;""))</f>
        <v>1</v>
      </c>
      <c r="H114" t="str">
        <f t="shared" si="2"/>
        <v>Row 107 - All mandatory fields must be given</v>
      </c>
      <c r="I114" t="s">
        <v>1391</v>
      </c>
      <c r="J114" t="b">
        <f>IF(OR(INDEX(OHZ_HAZ_CONSIGNMENT,107,1)="",AND(INDEX(OHZ_HAZ_DPGREF,107,1)&lt;&gt;"",INDEX(OHZ_HAZ_CONSIGNMENT,107,1)=INDEX(OHZ_HAZ_CONSIGNMENT,106,1),INDEX(OHZ_HAZ_DPGREF,107,1)=INDEX(OHZ_HAZ_DPGREF,106,1))),TRUE,AND(INDEX(OHZ_HAZ_DGCLASSIFI,107,1)&lt;&gt;"",INDEX(OHZ_HAZ_TEXTUALREF,107,1)&lt;&gt;"",INDEX(OHZ_HAZ_TOTAMOUNT,107,1)&lt;&gt;""))</f>
        <v>1</v>
      </c>
      <c r="K114" t="str">
        <f t="shared" si="3"/>
        <v>Row 107 - All mandatory fields must be given</v>
      </c>
      <c r="L114" t="s">
        <v>1391</v>
      </c>
      <c r="T114" t="s">
        <v>1715</v>
      </c>
    </row>
    <row r="115" spans="4:20" x14ac:dyDescent="0.25">
      <c r="D115" t="b">
        <f>IF(OR(ISBLANK(SUM(WAS_ITE_RETAINED)),AND(ISNUMBER(SUM(WAS_ITE_RETAINED)),LEN(SUM(WAS_ITE_RETAINED))-(IF(ISNUMBER(SEARCH(".",SUM(WAS_ITE_RETAINED))),SEARCH(".",SUM(WAS_ITE_RETAINED)),LEN(SUM(WAS_ITE_RETAINED))))&lt;=3,SUM(WAS_ITE_RETAINED)&lt;=9999999)),TRUE(),FALSE())</f>
        <v>1</v>
      </c>
      <c r="E115" t="s">
        <v>1528</v>
      </c>
      <c r="F115" t="s">
        <v>1391</v>
      </c>
      <c r="G115" t="b">
        <f>IF(OR(INDEX(IHZ_HAZ_CONSIGNMENT,108,1)="",AND(INDEX(IHZ_HAZ_DPGREF,108,1)&lt;&gt;"",INDEX(IHZ_HAZ_CONSIGNMENT,108,1)=INDEX(IHZ_HAZ_CONSIGNMENT,107,1),INDEX(IHZ_HAZ_DPGREF,108,1)=INDEX(IHZ_HAZ_DPGREF,107,1))),TRUE,AND(INDEX(IHZ_HAZ_DGCLASSIFI,108,1)&lt;&gt;"",INDEX(IHZ_HAZ_TEXTUALREF,108,1)&lt;&gt;"",INDEX(IHZ_HAZ_TOTAMOUNT,108,1)&lt;&gt;""))</f>
        <v>1</v>
      </c>
      <c r="H115" t="str">
        <f t="shared" si="2"/>
        <v>Row 108 - All mandatory fields must be given</v>
      </c>
      <c r="I115" t="s">
        <v>1391</v>
      </c>
      <c r="J115" t="b">
        <f>IF(OR(INDEX(OHZ_HAZ_CONSIGNMENT,108,1)="",AND(INDEX(OHZ_HAZ_DPGREF,108,1)&lt;&gt;"",INDEX(OHZ_HAZ_CONSIGNMENT,108,1)=INDEX(OHZ_HAZ_CONSIGNMENT,107,1),INDEX(OHZ_HAZ_DPGREF,108,1)=INDEX(OHZ_HAZ_DPGREF,107,1))),TRUE,AND(INDEX(OHZ_HAZ_DGCLASSIFI,108,1)&lt;&gt;"",INDEX(OHZ_HAZ_TEXTUALREF,108,1)&lt;&gt;"",INDEX(OHZ_HAZ_TOTAMOUNT,108,1)&lt;&gt;""))</f>
        <v>1</v>
      </c>
      <c r="K115" t="str">
        <f t="shared" si="3"/>
        <v>Row 108 - All mandatory fields must be given</v>
      </c>
      <c r="L115" t="s">
        <v>1391</v>
      </c>
      <c r="T115" t="s">
        <v>1716</v>
      </c>
    </row>
    <row r="116" spans="4:20" x14ac:dyDescent="0.25">
      <c r="D116" t="b">
        <f>IF(OR(ISBLANK(SUM(WAS_ITE_GENERATED)),AND(ISNUMBER(SUM(WAS_ITE_GENERATED)),LEN(SUM(WAS_ITE_GENERATED))-(IF(ISNUMBER(SEARCH(".",SUM(WAS_ITE_GENERATED))),SEARCH(".",SUM(WAS_ITE_GENERATED)),LEN(SUM(WAS_ITE_GENERATED))))&lt;=3,SUM(WAS_ITE_GENERATED)&lt;=9999999)),TRUE(),FALSE())</f>
        <v>1</v>
      </c>
      <c r="E116" t="s">
        <v>1928</v>
      </c>
      <c r="F116" t="s">
        <v>1391</v>
      </c>
      <c r="G116" t="b">
        <f>IF(OR(INDEX(IHZ_HAZ_CONSIGNMENT,109,1)="",AND(INDEX(IHZ_HAZ_DPGREF,109,1)&lt;&gt;"",INDEX(IHZ_HAZ_CONSIGNMENT,109,1)=INDEX(IHZ_HAZ_CONSIGNMENT,108,1),INDEX(IHZ_HAZ_DPGREF,109,1)=INDEX(IHZ_HAZ_DPGREF,108,1))),TRUE,AND(INDEX(IHZ_HAZ_DGCLASSIFI,109,1)&lt;&gt;"",INDEX(IHZ_HAZ_TEXTUALREF,109,1)&lt;&gt;"",INDEX(IHZ_HAZ_TOTAMOUNT,109,1)&lt;&gt;""))</f>
        <v>1</v>
      </c>
      <c r="H116" t="str">
        <f t="shared" si="2"/>
        <v>Row 109 - All mandatory fields must be given</v>
      </c>
      <c r="I116" t="s">
        <v>1391</v>
      </c>
      <c r="J116" t="b">
        <f>IF(OR(INDEX(OHZ_HAZ_CONSIGNMENT,109,1)="",AND(INDEX(OHZ_HAZ_DPGREF,109,1)&lt;&gt;"",INDEX(OHZ_HAZ_CONSIGNMENT,109,1)=INDEX(OHZ_HAZ_CONSIGNMENT,108,1),INDEX(OHZ_HAZ_DPGREF,109,1)=INDEX(OHZ_HAZ_DPGREF,108,1))),TRUE,AND(INDEX(OHZ_HAZ_DGCLASSIFI,109,1)&lt;&gt;"",INDEX(OHZ_HAZ_TEXTUALREF,109,1)&lt;&gt;"",INDEX(OHZ_HAZ_TOTAMOUNT,109,1)&lt;&gt;""))</f>
        <v>1</v>
      </c>
      <c r="K116" t="str">
        <f t="shared" si="3"/>
        <v>Row 109 - All mandatory fields must be given</v>
      </c>
      <c r="L116" t="s">
        <v>1391</v>
      </c>
      <c r="T116" t="s">
        <v>1717</v>
      </c>
    </row>
    <row r="117" spans="4:20" x14ac:dyDescent="0.25">
      <c r="F117" t="s">
        <v>1391</v>
      </c>
      <c r="G117" t="b">
        <f>IF(OR(INDEX(IHZ_HAZ_CONSIGNMENT,110,1)="",AND(INDEX(IHZ_HAZ_DPGREF,110,1)&lt;&gt;"",INDEX(IHZ_HAZ_CONSIGNMENT,110,1)=INDEX(IHZ_HAZ_CONSIGNMENT,109,1),INDEX(IHZ_HAZ_DPGREF,110,1)=INDEX(IHZ_HAZ_DPGREF,109,1))),TRUE,AND(INDEX(IHZ_HAZ_DGCLASSIFI,110,1)&lt;&gt;"",INDEX(IHZ_HAZ_TEXTUALREF,110,1)&lt;&gt;"",INDEX(IHZ_HAZ_TOTAMOUNT,110,1)&lt;&gt;""))</f>
        <v>1</v>
      </c>
      <c r="H117" t="str">
        <f t="shared" si="2"/>
        <v>Row 110 - All mandatory fields must be given</v>
      </c>
      <c r="I117" t="s">
        <v>1391</v>
      </c>
      <c r="J117" t="b">
        <f>IF(OR(INDEX(OHZ_HAZ_CONSIGNMENT,110,1)="",AND(INDEX(OHZ_HAZ_DPGREF,110,1)&lt;&gt;"",INDEX(OHZ_HAZ_CONSIGNMENT,110,1)=INDEX(OHZ_HAZ_CONSIGNMENT,109,1),INDEX(OHZ_HAZ_DPGREF,110,1)=INDEX(OHZ_HAZ_DPGREF,109,1))),TRUE,AND(INDEX(OHZ_HAZ_DGCLASSIFI,110,1)&lt;&gt;"",INDEX(OHZ_HAZ_TEXTUALREF,110,1)&lt;&gt;"",INDEX(OHZ_HAZ_TOTAMOUNT,110,1)&lt;&gt;""))</f>
        <v>1</v>
      </c>
      <c r="K117" t="str">
        <f t="shared" si="3"/>
        <v>Row 110 - All mandatory fields must be given</v>
      </c>
      <c r="L117" t="s">
        <v>1391</v>
      </c>
      <c r="T117" t="s">
        <v>1718</v>
      </c>
    </row>
    <row r="118" spans="4:20" x14ac:dyDescent="0.25">
      <c r="F118" t="s">
        <v>1391</v>
      </c>
      <c r="G118" t="b">
        <f>IF(OR(INDEX(IHZ_HAZ_CONSIGNMENT,111,1)="",AND(INDEX(IHZ_HAZ_DPGREF,111,1)&lt;&gt;"",INDEX(IHZ_HAZ_CONSIGNMENT,111,1)=INDEX(IHZ_HAZ_CONSIGNMENT,110,1),INDEX(IHZ_HAZ_DPGREF,111,1)=INDEX(IHZ_HAZ_DPGREF,110,1))),TRUE,AND(INDEX(IHZ_HAZ_DGCLASSIFI,111,1)&lt;&gt;"",INDEX(IHZ_HAZ_TEXTUALREF,111,1)&lt;&gt;"",INDEX(IHZ_HAZ_TOTAMOUNT,111,1)&lt;&gt;""))</f>
        <v>1</v>
      </c>
      <c r="H118" t="str">
        <f t="shared" si="2"/>
        <v>Row 111 - All mandatory fields must be given</v>
      </c>
      <c r="I118" t="s">
        <v>1391</v>
      </c>
      <c r="J118" t="b">
        <f>IF(OR(INDEX(OHZ_HAZ_CONSIGNMENT,111,1)="",AND(INDEX(OHZ_HAZ_DPGREF,111,1)&lt;&gt;"",INDEX(OHZ_HAZ_CONSIGNMENT,111,1)=INDEX(OHZ_HAZ_CONSIGNMENT,110,1),INDEX(OHZ_HAZ_DPGREF,111,1)=INDEX(OHZ_HAZ_DPGREF,110,1))),TRUE,AND(INDEX(OHZ_HAZ_DGCLASSIFI,111,1)&lt;&gt;"",INDEX(OHZ_HAZ_TEXTUALREF,111,1)&lt;&gt;"",INDEX(OHZ_HAZ_TOTAMOUNT,111,1)&lt;&gt;""))</f>
        <v>1</v>
      </c>
      <c r="K118" t="str">
        <f t="shared" si="3"/>
        <v>Row 111 - All mandatory fields must be given</v>
      </c>
      <c r="L118" t="s">
        <v>1391</v>
      </c>
      <c r="T118" t="s">
        <v>1719</v>
      </c>
    </row>
    <row r="119" spans="4:20" x14ac:dyDescent="0.25">
      <c r="F119" t="s">
        <v>1391</v>
      </c>
      <c r="G119" t="b">
        <f>IF(OR(INDEX(IHZ_HAZ_CONSIGNMENT,112,1)="",AND(INDEX(IHZ_HAZ_DPGREF,112,1)&lt;&gt;"",INDEX(IHZ_HAZ_CONSIGNMENT,112,1)=INDEX(IHZ_HAZ_CONSIGNMENT,111,1),INDEX(IHZ_HAZ_DPGREF,112,1)=INDEX(IHZ_HAZ_DPGREF,111,1))),TRUE,AND(INDEX(IHZ_HAZ_DGCLASSIFI,112,1)&lt;&gt;"",INDEX(IHZ_HAZ_TEXTUALREF,112,1)&lt;&gt;"",INDEX(IHZ_HAZ_TOTAMOUNT,112,1)&lt;&gt;""))</f>
        <v>1</v>
      </c>
      <c r="H119" t="str">
        <f t="shared" si="2"/>
        <v>Row 112 - All mandatory fields must be given</v>
      </c>
      <c r="I119" t="s">
        <v>1391</v>
      </c>
      <c r="J119" t="b">
        <f>IF(OR(INDEX(OHZ_HAZ_CONSIGNMENT,112,1)="",AND(INDEX(OHZ_HAZ_DPGREF,112,1)&lt;&gt;"",INDEX(OHZ_HAZ_CONSIGNMENT,112,1)=INDEX(OHZ_HAZ_CONSIGNMENT,111,1),INDEX(OHZ_HAZ_DPGREF,112,1)=INDEX(OHZ_HAZ_DPGREF,111,1))),TRUE,AND(INDEX(OHZ_HAZ_DGCLASSIFI,112,1)&lt;&gt;"",INDEX(OHZ_HAZ_TEXTUALREF,112,1)&lt;&gt;"",INDEX(OHZ_HAZ_TOTAMOUNT,112,1)&lt;&gt;""))</f>
        <v>1</v>
      </c>
      <c r="K119" t="str">
        <f t="shared" si="3"/>
        <v>Row 112 - All mandatory fields must be given</v>
      </c>
      <c r="L119" t="s">
        <v>1391</v>
      </c>
      <c r="T119" t="s">
        <v>1720</v>
      </c>
    </row>
    <row r="120" spans="4:20" x14ac:dyDescent="0.25">
      <c r="F120" t="s">
        <v>1391</v>
      </c>
      <c r="G120" t="b">
        <f>IF(OR(INDEX(IHZ_HAZ_CONSIGNMENT,113,1)="",AND(INDEX(IHZ_HAZ_DPGREF,113,1)&lt;&gt;"",INDEX(IHZ_HAZ_CONSIGNMENT,113,1)=INDEX(IHZ_HAZ_CONSIGNMENT,112,1),INDEX(IHZ_HAZ_DPGREF,113,1)=INDEX(IHZ_HAZ_DPGREF,112,1))),TRUE,AND(INDEX(IHZ_HAZ_DGCLASSIFI,113,1)&lt;&gt;"",INDEX(IHZ_HAZ_TEXTUALREF,113,1)&lt;&gt;"",INDEX(IHZ_HAZ_TOTAMOUNT,113,1)&lt;&gt;""))</f>
        <v>1</v>
      </c>
      <c r="H120" t="str">
        <f t="shared" si="2"/>
        <v>Row 113 - All mandatory fields must be given</v>
      </c>
      <c r="I120" t="s">
        <v>1391</v>
      </c>
      <c r="J120" t="b">
        <f>IF(OR(INDEX(OHZ_HAZ_CONSIGNMENT,113,1)="",AND(INDEX(OHZ_HAZ_DPGREF,113,1)&lt;&gt;"",INDEX(OHZ_HAZ_CONSIGNMENT,113,1)=INDEX(OHZ_HAZ_CONSIGNMENT,112,1),INDEX(OHZ_HAZ_DPGREF,113,1)=INDEX(OHZ_HAZ_DPGREF,112,1))),TRUE,AND(INDEX(OHZ_HAZ_DGCLASSIFI,113,1)&lt;&gt;"",INDEX(OHZ_HAZ_TEXTUALREF,113,1)&lt;&gt;"",INDEX(OHZ_HAZ_TOTAMOUNT,113,1)&lt;&gt;""))</f>
        <v>1</v>
      </c>
      <c r="K120" t="str">
        <f t="shared" si="3"/>
        <v>Row 113 - All mandatory fields must be given</v>
      </c>
      <c r="L120" t="s">
        <v>1391</v>
      </c>
      <c r="T120" t="s">
        <v>1721</v>
      </c>
    </row>
    <row r="121" spans="4:20" x14ac:dyDescent="0.25">
      <c r="D121" t="b">
        <f>LEN(INDEX(WAS_ITE_TYPEDESCRI,1,1))&lt;256</f>
        <v>1</v>
      </c>
      <c r="E121" t="s">
        <v>1927</v>
      </c>
      <c r="F121" t="s">
        <v>1391</v>
      </c>
      <c r="G121" t="b">
        <f>IF(OR(INDEX(IHZ_HAZ_CONSIGNMENT,114,1)="",AND(INDEX(IHZ_HAZ_DPGREF,114,1)&lt;&gt;"",INDEX(IHZ_HAZ_CONSIGNMENT,114,1)=INDEX(IHZ_HAZ_CONSIGNMENT,113,1),INDEX(IHZ_HAZ_DPGREF,114,1)=INDEX(IHZ_HAZ_DPGREF,113,1))),TRUE,AND(INDEX(IHZ_HAZ_DGCLASSIFI,114,1)&lt;&gt;"",INDEX(IHZ_HAZ_TEXTUALREF,114,1)&lt;&gt;"",INDEX(IHZ_HAZ_TOTAMOUNT,114,1)&lt;&gt;""))</f>
        <v>1</v>
      </c>
      <c r="H121" t="str">
        <f t="shared" si="2"/>
        <v>Row 114 - All mandatory fields must be given</v>
      </c>
      <c r="I121" t="s">
        <v>1391</v>
      </c>
      <c r="J121" t="b">
        <f>IF(OR(INDEX(OHZ_HAZ_CONSIGNMENT,114,1)="",AND(INDEX(OHZ_HAZ_DPGREF,114,1)&lt;&gt;"",INDEX(OHZ_HAZ_CONSIGNMENT,114,1)=INDEX(OHZ_HAZ_CONSIGNMENT,113,1),INDEX(OHZ_HAZ_DPGREF,114,1)=INDEX(OHZ_HAZ_DPGREF,113,1))),TRUE,AND(INDEX(OHZ_HAZ_DGCLASSIFI,114,1)&lt;&gt;"",INDEX(OHZ_HAZ_TEXTUALREF,114,1)&lt;&gt;"",INDEX(OHZ_HAZ_TOTAMOUNT,114,1)&lt;&gt;""))</f>
        <v>1</v>
      </c>
      <c r="K121" t="str">
        <f t="shared" si="3"/>
        <v>Row 114 - All mandatory fields must be given</v>
      </c>
      <c r="L121" t="s">
        <v>1391</v>
      </c>
      <c r="T121" t="s">
        <v>1722</v>
      </c>
    </row>
    <row r="122" spans="4:20" x14ac:dyDescent="0.25">
      <c r="D122" t="b">
        <f>IF(OR(ISBLANK(INDEX(WAS_ITE_DELIVERED,1,1)),AND(ISNUMBER(INDEX(WAS_ITE_DELIVERED,1,1)),LEN(INDEX(WAS_ITE_DELIVERED,1,1))-(IF(ISNUMBER(SEARCH(".",INDEX(WAS_ITE_DELIVERED,1,1))),SEARCH(".",INDEX(WAS_ITE_DELIVERED,1,1)),LEN(INDEX(WAS_ITE_DELIVERED,1,1))))&lt;=3,INDEX(WAS_ITE_DELIVERED,1,1)&lt;=9999999)),TRUE(),FALSE())</f>
        <v>1</v>
      </c>
      <c r="E122" t="s">
        <v>1926</v>
      </c>
      <c r="F122" t="s">
        <v>1391</v>
      </c>
      <c r="G122" t="b">
        <f>IF(OR(INDEX(IHZ_HAZ_CONSIGNMENT,115,1)="",AND(INDEX(IHZ_HAZ_DPGREF,115,1)&lt;&gt;"",INDEX(IHZ_HAZ_CONSIGNMENT,115,1)=INDEX(IHZ_HAZ_CONSIGNMENT,114,1),INDEX(IHZ_HAZ_DPGREF,115,1)=INDEX(IHZ_HAZ_DPGREF,114,1))),TRUE,AND(INDEX(IHZ_HAZ_DGCLASSIFI,115,1)&lt;&gt;"",INDEX(IHZ_HAZ_TEXTUALREF,115,1)&lt;&gt;"",INDEX(IHZ_HAZ_TOTAMOUNT,115,1)&lt;&gt;""))</f>
        <v>1</v>
      </c>
      <c r="H122" t="str">
        <f t="shared" si="2"/>
        <v>Row 115 - All mandatory fields must be given</v>
      </c>
      <c r="I122" t="s">
        <v>1391</v>
      </c>
      <c r="J122" t="b">
        <f>IF(OR(INDEX(OHZ_HAZ_CONSIGNMENT,115,1)="",AND(INDEX(OHZ_HAZ_DPGREF,115,1)&lt;&gt;"",INDEX(OHZ_HAZ_CONSIGNMENT,115,1)=INDEX(OHZ_HAZ_CONSIGNMENT,114,1),INDEX(OHZ_HAZ_DPGREF,115,1)=INDEX(OHZ_HAZ_DPGREF,114,1))),TRUE,AND(INDEX(OHZ_HAZ_DGCLASSIFI,115,1)&lt;&gt;"",INDEX(OHZ_HAZ_TEXTUALREF,115,1)&lt;&gt;"",INDEX(OHZ_HAZ_TOTAMOUNT,115,1)&lt;&gt;""))</f>
        <v>1</v>
      </c>
      <c r="K122" t="str">
        <f t="shared" si="3"/>
        <v>Row 115 - All mandatory fields must be given</v>
      </c>
      <c r="L122" t="s">
        <v>1391</v>
      </c>
      <c r="T122" t="s">
        <v>1723</v>
      </c>
    </row>
    <row r="123" spans="4:20" x14ac:dyDescent="0.25">
      <c r="D123" t="b">
        <f>OR(INDEX(WAS_ITE_DELIVEREDU,1,1)="",COUNTIF(Units_description,INDEX(WAS_ITE_DELIVEREDU,1,1))=1)</f>
        <v>1</v>
      </c>
      <c r="E123" t="s">
        <v>1921</v>
      </c>
      <c r="F123" t="s">
        <v>1391</v>
      </c>
      <c r="G123" t="b">
        <f>IF(OR(INDEX(IHZ_HAZ_CONSIGNMENT,116,1)="",AND(INDEX(IHZ_HAZ_DPGREF,116,1)&lt;&gt;"",INDEX(IHZ_HAZ_CONSIGNMENT,116,1)=INDEX(IHZ_HAZ_CONSIGNMENT,115,1),INDEX(IHZ_HAZ_DPGREF,116,1)=INDEX(IHZ_HAZ_DPGREF,115,1))),TRUE,AND(INDEX(IHZ_HAZ_DGCLASSIFI,116,1)&lt;&gt;"",INDEX(IHZ_HAZ_TEXTUALREF,116,1)&lt;&gt;"",INDEX(IHZ_HAZ_TOTAMOUNT,116,1)&lt;&gt;""))</f>
        <v>1</v>
      </c>
      <c r="H123" t="str">
        <f t="shared" si="2"/>
        <v>Row 116 - All mandatory fields must be given</v>
      </c>
      <c r="I123" t="s">
        <v>1391</v>
      </c>
      <c r="J123" t="b">
        <f>IF(OR(INDEX(OHZ_HAZ_CONSIGNMENT,116,1)="",AND(INDEX(OHZ_HAZ_DPGREF,116,1)&lt;&gt;"",INDEX(OHZ_HAZ_CONSIGNMENT,116,1)=INDEX(OHZ_HAZ_CONSIGNMENT,115,1),INDEX(OHZ_HAZ_DPGREF,116,1)=INDEX(OHZ_HAZ_DPGREF,115,1))),TRUE,AND(INDEX(OHZ_HAZ_DGCLASSIFI,116,1)&lt;&gt;"",INDEX(OHZ_HAZ_TEXTUALREF,116,1)&lt;&gt;"",INDEX(OHZ_HAZ_TOTAMOUNT,116,1)&lt;&gt;""))</f>
        <v>1</v>
      </c>
      <c r="K123" t="str">
        <f t="shared" si="3"/>
        <v>Row 116 - All mandatory fields must be given</v>
      </c>
      <c r="L123" t="s">
        <v>1391</v>
      </c>
      <c r="T123" t="s">
        <v>1724</v>
      </c>
    </row>
    <row r="124" spans="4:20" x14ac:dyDescent="0.25">
      <c r="D124" t="b">
        <f>IF(OR(ISBLANK(INDEX(WAS_ITE_MAXSTORAG,1,1)),AND(ISNUMBER(INDEX(WAS_ITE_MAXSTORAG,1,1)),LEN(INDEX(WAS_ITE_MAXSTORAG,1,1))-(IF(ISNUMBER(SEARCH(".",INDEX(WAS_ITE_MAXSTORAG,1,1))),SEARCH(".",INDEX(WAS_ITE_MAXSTORAG,1,1)),LEN(INDEX(WAS_ITE_MAXSTORAG,1,1))))&lt;=3,INDEX(WAS_ITE_MAXSTORAG,1,1)&lt;=9999999)),TRUE(),FALSE())</f>
        <v>1</v>
      </c>
      <c r="E124" t="s">
        <v>1925</v>
      </c>
      <c r="F124" t="s">
        <v>1391</v>
      </c>
      <c r="G124" t="b">
        <f>IF(OR(INDEX(IHZ_HAZ_CONSIGNMENT,117,1)="",AND(INDEX(IHZ_HAZ_DPGREF,117,1)&lt;&gt;"",INDEX(IHZ_HAZ_CONSIGNMENT,117,1)=INDEX(IHZ_HAZ_CONSIGNMENT,116,1),INDEX(IHZ_HAZ_DPGREF,117,1)=INDEX(IHZ_HAZ_DPGREF,116,1))),TRUE,AND(INDEX(IHZ_HAZ_DGCLASSIFI,117,1)&lt;&gt;"",INDEX(IHZ_HAZ_TEXTUALREF,117,1)&lt;&gt;"",INDEX(IHZ_HAZ_TOTAMOUNT,117,1)&lt;&gt;""))</f>
        <v>1</v>
      </c>
      <c r="H124" t="str">
        <f t="shared" si="2"/>
        <v>Row 117 - All mandatory fields must be given</v>
      </c>
      <c r="I124" t="s">
        <v>1391</v>
      </c>
      <c r="J124" t="b">
        <f>IF(OR(INDEX(OHZ_HAZ_CONSIGNMENT,117,1)="",AND(INDEX(OHZ_HAZ_DPGREF,117,1)&lt;&gt;"",INDEX(OHZ_HAZ_CONSIGNMENT,117,1)=INDEX(OHZ_HAZ_CONSIGNMENT,116,1),INDEX(OHZ_HAZ_DPGREF,117,1)=INDEX(OHZ_HAZ_DPGREF,116,1))),TRUE,AND(INDEX(OHZ_HAZ_DGCLASSIFI,117,1)&lt;&gt;"",INDEX(OHZ_HAZ_TEXTUALREF,117,1)&lt;&gt;"",INDEX(OHZ_HAZ_TOTAMOUNT,117,1)&lt;&gt;""))</f>
        <v>1</v>
      </c>
      <c r="K124" t="str">
        <f t="shared" si="3"/>
        <v>Row 117 - All mandatory fields must be given</v>
      </c>
      <c r="L124" t="s">
        <v>1391</v>
      </c>
      <c r="T124" t="s">
        <v>1725</v>
      </c>
    </row>
    <row r="125" spans="4:20" x14ac:dyDescent="0.25">
      <c r="D125" t="b">
        <f>OR(INDEX(WAS_ITE_MAXSTORAGU,1,1)="",COUNTIF(Units_description,INDEX(WAS_ITE_MAXSTORAGU,1,1))=1)</f>
        <v>1</v>
      </c>
      <c r="E125" t="s">
        <v>1921</v>
      </c>
      <c r="F125" t="s">
        <v>1391</v>
      </c>
      <c r="G125" t="b">
        <f>IF(OR(INDEX(IHZ_HAZ_CONSIGNMENT,118,1)="",AND(INDEX(IHZ_HAZ_DPGREF,118,1)&lt;&gt;"",INDEX(IHZ_HAZ_CONSIGNMENT,118,1)=INDEX(IHZ_HAZ_CONSIGNMENT,117,1),INDEX(IHZ_HAZ_DPGREF,118,1)=INDEX(IHZ_HAZ_DPGREF,117,1))),TRUE,AND(INDEX(IHZ_HAZ_DGCLASSIFI,118,1)&lt;&gt;"",INDEX(IHZ_HAZ_TEXTUALREF,118,1)&lt;&gt;"",INDEX(IHZ_HAZ_TOTAMOUNT,118,1)&lt;&gt;""))</f>
        <v>1</v>
      </c>
      <c r="H125" t="str">
        <f t="shared" si="2"/>
        <v>Row 118 - All mandatory fields must be given</v>
      </c>
      <c r="I125" t="s">
        <v>1391</v>
      </c>
      <c r="J125" t="b">
        <f>IF(OR(INDEX(OHZ_HAZ_CONSIGNMENT,118,1)="",AND(INDEX(OHZ_HAZ_DPGREF,118,1)&lt;&gt;"",INDEX(OHZ_HAZ_CONSIGNMENT,118,1)=INDEX(OHZ_HAZ_CONSIGNMENT,117,1),INDEX(OHZ_HAZ_DPGREF,118,1)=INDEX(OHZ_HAZ_DPGREF,117,1))),TRUE,AND(INDEX(OHZ_HAZ_DGCLASSIFI,118,1)&lt;&gt;"",INDEX(OHZ_HAZ_TEXTUALREF,118,1)&lt;&gt;"",INDEX(OHZ_HAZ_TOTAMOUNT,118,1)&lt;&gt;""))</f>
        <v>1</v>
      </c>
      <c r="K125" t="str">
        <f t="shared" si="3"/>
        <v>Row 118 - All mandatory fields must be given</v>
      </c>
      <c r="L125" t="s">
        <v>1391</v>
      </c>
      <c r="T125" t="s">
        <v>1726</v>
      </c>
    </row>
    <row r="126" spans="4:20" x14ac:dyDescent="0.25">
      <c r="D126" t="b">
        <f>IF(OR(ISBLANK(INDEX(WAS_ITE_RETAINED,1,1)),AND(ISNUMBER(INDEX(WAS_ITE_RETAINED,1,1)),LEN(INDEX(WAS_ITE_RETAINED,1,1))-(IF(ISNUMBER(SEARCH(".",INDEX(WAS_ITE_RETAINED,1,1))),SEARCH(".",INDEX(WAS_ITE_RETAINED,1,1)),LEN(INDEX(WAS_ITE_RETAINED,1,1))))&lt;=3,INDEX(WAS_ITE_RETAINED,1,1)&lt;=9999999)),TRUE(),FALSE())</f>
        <v>1</v>
      </c>
      <c r="E126" t="s">
        <v>1924</v>
      </c>
      <c r="F126" t="s">
        <v>1391</v>
      </c>
      <c r="G126" t="b">
        <f>IF(OR(INDEX(IHZ_HAZ_CONSIGNMENT,119,1)="",AND(INDEX(IHZ_HAZ_DPGREF,119,1)&lt;&gt;"",INDEX(IHZ_HAZ_CONSIGNMENT,119,1)=INDEX(IHZ_HAZ_CONSIGNMENT,118,1),INDEX(IHZ_HAZ_DPGREF,119,1)=INDEX(IHZ_HAZ_DPGREF,118,1))),TRUE,AND(INDEX(IHZ_HAZ_DGCLASSIFI,119,1)&lt;&gt;"",INDEX(IHZ_HAZ_TEXTUALREF,119,1)&lt;&gt;"",INDEX(IHZ_HAZ_TOTAMOUNT,119,1)&lt;&gt;""))</f>
        <v>1</v>
      </c>
      <c r="H126" t="str">
        <f t="shared" si="2"/>
        <v>Row 119 - All mandatory fields must be given</v>
      </c>
      <c r="I126" t="s">
        <v>1391</v>
      </c>
      <c r="J126" t="b">
        <f>IF(OR(INDEX(OHZ_HAZ_CONSIGNMENT,119,1)="",AND(INDEX(OHZ_HAZ_DPGREF,119,1)&lt;&gt;"",INDEX(OHZ_HAZ_CONSIGNMENT,119,1)=INDEX(OHZ_HAZ_CONSIGNMENT,118,1),INDEX(OHZ_HAZ_DPGREF,119,1)=INDEX(OHZ_HAZ_DPGREF,118,1))),TRUE,AND(INDEX(OHZ_HAZ_DGCLASSIFI,119,1)&lt;&gt;"",INDEX(OHZ_HAZ_TEXTUALREF,119,1)&lt;&gt;"",INDEX(OHZ_HAZ_TOTAMOUNT,119,1)&lt;&gt;""))</f>
        <v>1</v>
      </c>
      <c r="K126" t="str">
        <f t="shared" si="3"/>
        <v>Row 119 - All mandatory fields must be given</v>
      </c>
      <c r="L126" t="s">
        <v>1391</v>
      </c>
      <c r="T126" t="s">
        <v>1727</v>
      </c>
    </row>
    <row r="127" spans="4:20" x14ac:dyDescent="0.25">
      <c r="D127" t="b">
        <f>OR(INDEX(WAS_ITE_RETAINEDU,1,1)="",COUNTIF(Units_description,INDEX(WAS_ITE_RETAINEDU,1,1))=1)</f>
        <v>1</v>
      </c>
      <c r="E127" t="s">
        <v>1921</v>
      </c>
      <c r="F127" t="s">
        <v>1391</v>
      </c>
      <c r="G127" t="b">
        <f>IF(OR(INDEX(IHZ_HAZ_CONSIGNMENT,120,1)="",AND(INDEX(IHZ_HAZ_DPGREF,120,1)&lt;&gt;"",INDEX(IHZ_HAZ_CONSIGNMENT,120,1)=INDEX(IHZ_HAZ_CONSIGNMENT,119,1),INDEX(IHZ_HAZ_DPGREF,120,1)=INDEX(IHZ_HAZ_DPGREF,119,1))),TRUE,AND(INDEX(IHZ_HAZ_DGCLASSIFI,120,1)&lt;&gt;"",INDEX(IHZ_HAZ_TEXTUALREF,120,1)&lt;&gt;"",INDEX(IHZ_HAZ_TOTAMOUNT,120,1)&lt;&gt;""))</f>
        <v>1</v>
      </c>
      <c r="H127" t="str">
        <f t="shared" si="2"/>
        <v>Row 120 - All mandatory fields must be given</v>
      </c>
      <c r="I127" t="s">
        <v>1391</v>
      </c>
      <c r="J127" t="b">
        <f>IF(OR(INDEX(OHZ_HAZ_CONSIGNMENT,120,1)="",AND(INDEX(OHZ_HAZ_DPGREF,120,1)&lt;&gt;"",INDEX(OHZ_HAZ_CONSIGNMENT,120,1)=INDEX(OHZ_HAZ_CONSIGNMENT,119,1),INDEX(OHZ_HAZ_DPGREF,120,1)=INDEX(OHZ_HAZ_DPGREF,119,1))),TRUE,AND(INDEX(OHZ_HAZ_DGCLASSIFI,120,1)&lt;&gt;"",INDEX(OHZ_HAZ_TEXTUALREF,120,1)&lt;&gt;"",INDEX(OHZ_HAZ_TOTAMOUNT,120,1)&lt;&gt;""))</f>
        <v>1</v>
      </c>
      <c r="K127" t="str">
        <f t="shared" si="3"/>
        <v>Row 120 - All mandatory fields must be given</v>
      </c>
      <c r="L127" t="s">
        <v>1391</v>
      </c>
      <c r="T127" t="s">
        <v>1728</v>
      </c>
    </row>
    <row r="128" spans="4:20" x14ac:dyDescent="0.25">
      <c r="D128" t="e">
        <f>OR(INDEX(WAS_ITE_REMAINING,1,1)="",COUNTIF(LOCODE,INDEX(WAS_ITE_REMAINING,1,1))=1)</f>
        <v>#NAME?</v>
      </c>
      <c r="E128" t="s">
        <v>1923</v>
      </c>
      <c r="F128" t="s">
        <v>1391</v>
      </c>
      <c r="G128" t="b">
        <f>IF(OR(INDEX(IHZ_HAZ_CONSIGNMENT,121,1)="",AND(INDEX(IHZ_HAZ_DPGREF,121,1)&lt;&gt;"",INDEX(IHZ_HAZ_CONSIGNMENT,121,1)=INDEX(IHZ_HAZ_CONSIGNMENT,120,1),INDEX(IHZ_HAZ_DPGREF,121,1)=INDEX(IHZ_HAZ_DPGREF,120,1))),TRUE,AND(INDEX(IHZ_HAZ_DGCLASSIFI,121,1)&lt;&gt;"",INDEX(IHZ_HAZ_TEXTUALREF,121,1)&lt;&gt;"",INDEX(IHZ_HAZ_TOTAMOUNT,121,1)&lt;&gt;""))</f>
        <v>1</v>
      </c>
      <c r="H128" t="str">
        <f t="shared" si="2"/>
        <v>Row 121 - All mandatory fields must be given</v>
      </c>
      <c r="I128" t="s">
        <v>1391</v>
      </c>
      <c r="J128" t="b">
        <f>IF(OR(INDEX(OHZ_HAZ_CONSIGNMENT,121,1)="",AND(INDEX(OHZ_HAZ_DPGREF,121,1)&lt;&gt;"",INDEX(OHZ_HAZ_CONSIGNMENT,121,1)=INDEX(OHZ_HAZ_CONSIGNMENT,120,1),INDEX(OHZ_HAZ_DPGREF,121,1)=INDEX(OHZ_HAZ_DPGREF,120,1))),TRUE,AND(INDEX(OHZ_HAZ_DGCLASSIFI,121,1)&lt;&gt;"",INDEX(OHZ_HAZ_TEXTUALREF,121,1)&lt;&gt;"",INDEX(OHZ_HAZ_TOTAMOUNT,121,1)&lt;&gt;""))</f>
        <v>1</v>
      </c>
      <c r="K128" t="str">
        <f t="shared" si="3"/>
        <v>Row 121 - All mandatory fields must be given</v>
      </c>
      <c r="L128" t="s">
        <v>1391</v>
      </c>
      <c r="T128" t="s">
        <v>1729</v>
      </c>
    </row>
    <row r="129" spans="4:20" x14ac:dyDescent="0.25">
      <c r="D129" t="b">
        <f>IF(OR(ISBLANK(INDEX(WAS_ITE_GENERATED,1,1)),AND(ISNUMBER(INDEX(WAS_ITE_GENERATED,1,1)),LEN(INDEX(WAS_ITE_GENERATED,1,1))-(IF(ISNUMBER(SEARCH(".",INDEX(WAS_ITE_GENERATED,1,1))),SEARCH(".",INDEX(WAS_ITE_GENERATED,1,1)),LEN(INDEX(WAS_ITE_GENERATED,1,1))))&lt;=3,INDEX(WAS_ITE_GENERATED,1,1)&lt;=9999999)),TRUE(),FALSE())</f>
        <v>1</v>
      </c>
      <c r="E129" t="s">
        <v>1922</v>
      </c>
      <c r="F129" t="s">
        <v>1391</v>
      </c>
      <c r="G129" t="b">
        <f>IF(OR(INDEX(IHZ_HAZ_CONSIGNMENT,122,1)="",AND(INDEX(IHZ_HAZ_DPGREF,122,1)&lt;&gt;"",INDEX(IHZ_HAZ_CONSIGNMENT,122,1)=INDEX(IHZ_HAZ_CONSIGNMENT,121,1),INDEX(IHZ_HAZ_DPGREF,122,1)=INDEX(IHZ_HAZ_DPGREF,121,1))),TRUE,AND(INDEX(IHZ_HAZ_DGCLASSIFI,122,1)&lt;&gt;"",INDEX(IHZ_HAZ_TEXTUALREF,122,1)&lt;&gt;"",INDEX(IHZ_HAZ_TOTAMOUNT,122,1)&lt;&gt;""))</f>
        <v>1</v>
      </c>
      <c r="H129" t="str">
        <f t="shared" si="2"/>
        <v>Row 122 - All mandatory fields must be given</v>
      </c>
      <c r="I129" t="s">
        <v>1391</v>
      </c>
      <c r="J129" t="b">
        <f>IF(OR(INDEX(OHZ_HAZ_CONSIGNMENT,122,1)="",AND(INDEX(OHZ_HAZ_DPGREF,122,1)&lt;&gt;"",INDEX(OHZ_HAZ_CONSIGNMENT,122,1)=INDEX(OHZ_HAZ_CONSIGNMENT,121,1),INDEX(OHZ_HAZ_DPGREF,122,1)=INDEX(OHZ_HAZ_DPGREF,121,1))),TRUE,AND(INDEX(OHZ_HAZ_DGCLASSIFI,122,1)&lt;&gt;"",INDEX(OHZ_HAZ_TEXTUALREF,122,1)&lt;&gt;"",INDEX(OHZ_HAZ_TOTAMOUNT,122,1)&lt;&gt;""))</f>
        <v>1</v>
      </c>
      <c r="K129" t="str">
        <f t="shared" si="3"/>
        <v>Row 122 - All mandatory fields must be given</v>
      </c>
      <c r="L129" t="s">
        <v>1391</v>
      </c>
      <c r="T129" t="s">
        <v>1730</v>
      </c>
    </row>
    <row r="130" spans="4:20" x14ac:dyDescent="0.25">
      <c r="D130" t="b">
        <f>OR(INDEX(WAS_ITE_GENERATEDU,1,1)="",COUNTIF(Units_description,INDEX(WAS_ITE_GENERATEDU,1,1))=1)</f>
        <v>1</v>
      </c>
      <c r="E130" t="s">
        <v>1921</v>
      </c>
      <c r="F130" t="s">
        <v>1391</v>
      </c>
      <c r="G130" t="b">
        <f>IF(OR(INDEX(IHZ_HAZ_CONSIGNMENT,123,1)="",AND(INDEX(IHZ_HAZ_DPGREF,123,1)&lt;&gt;"",INDEX(IHZ_HAZ_CONSIGNMENT,123,1)=INDEX(IHZ_HAZ_CONSIGNMENT,122,1),INDEX(IHZ_HAZ_DPGREF,123,1)=INDEX(IHZ_HAZ_DPGREF,122,1))),TRUE,AND(INDEX(IHZ_HAZ_DGCLASSIFI,123,1)&lt;&gt;"",INDEX(IHZ_HAZ_TEXTUALREF,123,1)&lt;&gt;"",INDEX(IHZ_HAZ_TOTAMOUNT,123,1)&lt;&gt;""))</f>
        <v>1</v>
      </c>
      <c r="H130" t="str">
        <f t="shared" si="2"/>
        <v>Row 123 - All mandatory fields must be given</v>
      </c>
      <c r="I130" t="s">
        <v>1391</v>
      </c>
      <c r="J130" t="b">
        <f>IF(OR(INDEX(OHZ_HAZ_CONSIGNMENT,123,1)="",AND(INDEX(OHZ_HAZ_DPGREF,123,1)&lt;&gt;"",INDEX(OHZ_HAZ_CONSIGNMENT,123,1)=INDEX(OHZ_HAZ_CONSIGNMENT,122,1),INDEX(OHZ_HAZ_DPGREF,123,1)=INDEX(OHZ_HAZ_DPGREF,122,1))),TRUE,AND(INDEX(OHZ_HAZ_DGCLASSIFI,123,1)&lt;&gt;"",INDEX(OHZ_HAZ_TEXTUALREF,123,1)&lt;&gt;"",INDEX(OHZ_HAZ_TOTAMOUNT,123,1)&lt;&gt;""))</f>
        <v>1</v>
      </c>
      <c r="K130" t="str">
        <f t="shared" si="3"/>
        <v>Row 123 - All mandatory fields must be given</v>
      </c>
      <c r="L130" t="s">
        <v>1391</v>
      </c>
      <c r="T130" t="s">
        <v>1731</v>
      </c>
    </row>
    <row r="131" spans="4:20" x14ac:dyDescent="0.25">
      <c r="F131" t="s">
        <v>1391</v>
      </c>
      <c r="G131" t="b">
        <f>IF(OR(INDEX(IHZ_HAZ_CONSIGNMENT,124,1)="",AND(INDEX(IHZ_HAZ_DPGREF,124,1)&lt;&gt;"",INDEX(IHZ_HAZ_CONSIGNMENT,124,1)=INDEX(IHZ_HAZ_CONSIGNMENT,123,1),INDEX(IHZ_HAZ_DPGREF,124,1)=INDEX(IHZ_HAZ_DPGREF,123,1))),TRUE,AND(INDEX(IHZ_HAZ_DGCLASSIFI,124,1)&lt;&gt;"",INDEX(IHZ_HAZ_TEXTUALREF,124,1)&lt;&gt;"",INDEX(IHZ_HAZ_TOTAMOUNT,124,1)&lt;&gt;""))</f>
        <v>1</v>
      </c>
      <c r="H131" t="str">
        <f t="shared" si="2"/>
        <v>Row 124 - All mandatory fields must be given</v>
      </c>
      <c r="I131" t="s">
        <v>1391</v>
      </c>
      <c r="J131" t="b">
        <f>IF(OR(INDEX(OHZ_HAZ_CONSIGNMENT,124,1)="",AND(INDEX(OHZ_HAZ_DPGREF,124,1)&lt;&gt;"",INDEX(OHZ_HAZ_CONSIGNMENT,124,1)=INDEX(OHZ_HAZ_CONSIGNMENT,123,1),INDEX(OHZ_HAZ_DPGREF,124,1)=INDEX(OHZ_HAZ_DPGREF,123,1))),TRUE,AND(INDEX(OHZ_HAZ_DGCLASSIFI,124,1)&lt;&gt;"",INDEX(OHZ_HAZ_TEXTUALREF,124,1)&lt;&gt;"",INDEX(OHZ_HAZ_TOTAMOUNT,124,1)&lt;&gt;""))</f>
        <v>1</v>
      </c>
      <c r="K131" t="str">
        <f t="shared" si="3"/>
        <v>Row 124 - All mandatory fields must be given</v>
      </c>
      <c r="L131" t="s">
        <v>1391</v>
      </c>
      <c r="T131" t="s">
        <v>1732</v>
      </c>
    </row>
    <row r="132" spans="4:20" x14ac:dyDescent="0.25">
      <c r="F132" t="s">
        <v>1391</v>
      </c>
      <c r="G132" t="b">
        <f>IF(OR(INDEX(IHZ_HAZ_CONSIGNMENT,125,1)="",AND(INDEX(IHZ_HAZ_DPGREF,125,1)&lt;&gt;"",INDEX(IHZ_HAZ_CONSIGNMENT,125,1)=INDEX(IHZ_HAZ_CONSIGNMENT,124,1),INDEX(IHZ_HAZ_DPGREF,125,1)=INDEX(IHZ_HAZ_DPGREF,124,1))),TRUE,AND(INDEX(IHZ_HAZ_DGCLASSIFI,125,1)&lt;&gt;"",INDEX(IHZ_HAZ_TEXTUALREF,125,1)&lt;&gt;"",INDEX(IHZ_HAZ_TOTAMOUNT,125,1)&lt;&gt;""))</f>
        <v>1</v>
      </c>
      <c r="H132" t="str">
        <f t="shared" si="2"/>
        <v>Row 125 - All mandatory fields must be given</v>
      </c>
      <c r="I132" t="s">
        <v>1391</v>
      </c>
      <c r="J132" t="b">
        <f>IF(OR(INDEX(OHZ_HAZ_CONSIGNMENT,125,1)="",AND(INDEX(OHZ_HAZ_DPGREF,125,1)&lt;&gt;"",INDEX(OHZ_HAZ_CONSIGNMENT,125,1)=INDEX(OHZ_HAZ_CONSIGNMENT,124,1),INDEX(OHZ_HAZ_DPGREF,125,1)=INDEX(OHZ_HAZ_DPGREF,124,1))),TRUE,AND(INDEX(OHZ_HAZ_DGCLASSIFI,125,1)&lt;&gt;"",INDEX(OHZ_HAZ_TEXTUALREF,125,1)&lt;&gt;"",INDEX(OHZ_HAZ_TOTAMOUNT,125,1)&lt;&gt;""))</f>
        <v>1</v>
      </c>
      <c r="K132" t="str">
        <f t="shared" si="3"/>
        <v>Row 125 - All mandatory fields must be given</v>
      </c>
      <c r="L132" t="s">
        <v>1391</v>
      </c>
      <c r="T132" t="s">
        <v>1733</v>
      </c>
    </row>
    <row r="133" spans="4:20" x14ac:dyDescent="0.25">
      <c r="F133" t="s">
        <v>1391</v>
      </c>
      <c r="G133" t="b">
        <f>IF(OR(INDEX(IHZ_HAZ_CONSIGNMENT,126,1)="",AND(INDEX(IHZ_HAZ_DPGREF,126,1)&lt;&gt;"",INDEX(IHZ_HAZ_CONSIGNMENT,126,1)=INDEX(IHZ_HAZ_CONSIGNMENT,125,1),INDEX(IHZ_HAZ_DPGREF,126,1)=INDEX(IHZ_HAZ_DPGREF,125,1))),TRUE,AND(INDEX(IHZ_HAZ_DGCLASSIFI,126,1)&lt;&gt;"",INDEX(IHZ_HAZ_TEXTUALREF,126,1)&lt;&gt;"",INDEX(IHZ_HAZ_TOTAMOUNT,126,1)&lt;&gt;""))</f>
        <v>1</v>
      </c>
      <c r="H133" t="str">
        <f t="shared" si="2"/>
        <v>Row 126 - All mandatory fields must be given</v>
      </c>
      <c r="I133" t="s">
        <v>1391</v>
      </c>
      <c r="J133" t="b">
        <f>IF(OR(INDEX(OHZ_HAZ_CONSIGNMENT,126,1)="",AND(INDEX(OHZ_HAZ_DPGREF,126,1)&lt;&gt;"",INDEX(OHZ_HAZ_CONSIGNMENT,126,1)=INDEX(OHZ_HAZ_CONSIGNMENT,125,1),INDEX(OHZ_HAZ_DPGREF,126,1)=INDEX(OHZ_HAZ_DPGREF,125,1))),TRUE,AND(INDEX(OHZ_HAZ_DGCLASSIFI,126,1)&lt;&gt;"",INDEX(OHZ_HAZ_TEXTUALREF,126,1)&lt;&gt;"",INDEX(OHZ_HAZ_TOTAMOUNT,126,1)&lt;&gt;""))</f>
        <v>1</v>
      </c>
      <c r="K133" t="str">
        <f t="shared" si="3"/>
        <v>Row 126 - All mandatory fields must be given</v>
      </c>
      <c r="L133" t="s">
        <v>1391</v>
      </c>
      <c r="T133" t="s">
        <v>1734</v>
      </c>
    </row>
    <row r="134" spans="4:20" x14ac:dyDescent="0.25">
      <c r="F134" t="s">
        <v>1391</v>
      </c>
      <c r="G134" t="b">
        <f>IF(OR(INDEX(IHZ_HAZ_CONSIGNMENT,127,1)="",AND(INDEX(IHZ_HAZ_DPGREF,127,1)&lt;&gt;"",INDEX(IHZ_HAZ_CONSIGNMENT,127,1)=INDEX(IHZ_HAZ_CONSIGNMENT,126,1),INDEX(IHZ_HAZ_DPGREF,127,1)=INDEX(IHZ_HAZ_DPGREF,126,1))),TRUE,AND(INDEX(IHZ_HAZ_DGCLASSIFI,127,1)&lt;&gt;"",INDEX(IHZ_HAZ_TEXTUALREF,127,1)&lt;&gt;"",INDEX(IHZ_HAZ_TOTAMOUNT,127,1)&lt;&gt;""))</f>
        <v>1</v>
      </c>
      <c r="H134" t="str">
        <f t="shared" si="2"/>
        <v>Row 127 - All mandatory fields must be given</v>
      </c>
      <c r="I134" t="s">
        <v>1391</v>
      </c>
      <c r="J134" t="b">
        <f>IF(OR(INDEX(OHZ_HAZ_CONSIGNMENT,127,1)="",AND(INDEX(OHZ_HAZ_DPGREF,127,1)&lt;&gt;"",INDEX(OHZ_HAZ_CONSIGNMENT,127,1)=INDEX(OHZ_HAZ_CONSIGNMENT,126,1),INDEX(OHZ_HAZ_DPGREF,127,1)=INDEX(OHZ_HAZ_DPGREF,126,1))),TRUE,AND(INDEX(OHZ_HAZ_DGCLASSIFI,127,1)&lt;&gt;"",INDEX(OHZ_HAZ_TEXTUALREF,127,1)&lt;&gt;"",INDEX(OHZ_HAZ_TOTAMOUNT,127,1)&lt;&gt;""))</f>
        <v>1</v>
      </c>
      <c r="K134" t="str">
        <f t="shared" si="3"/>
        <v>Row 127 - All mandatory fields must be given</v>
      </c>
      <c r="L134" t="s">
        <v>1391</v>
      </c>
      <c r="T134" t="s">
        <v>1735</v>
      </c>
    </row>
    <row r="135" spans="4:20" x14ac:dyDescent="0.25">
      <c r="F135" t="s">
        <v>1391</v>
      </c>
      <c r="G135" t="b">
        <f>IF(OR(INDEX(IHZ_HAZ_CONSIGNMENT,128,1)="",AND(INDEX(IHZ_HAZ_DPGREF,128,1)&lt;&gt;"",INDEX(IHZ_HAZ_CONSIGNMENT,128,1)=INDEX(IHZ_HAZ_CONSIGNMENT,127,1),INDEX(IHZ_HAZ_DPGREF,128,1)=INDEX(IHZ_HAZ_DPGREF,127,1))),TRUE,AND(INDEX(IHZ_HAZ_DGCLASSIFI,128,1)&lt;&gt;"",INDEX(IHZ_HAZ_TEXTUALREF,128,1)&lt;&gt;"",INDEX(IHZ_HAZ_TOTAMOUNT,128,1)&lt;&gt;""))</f>
        <v>1</v>
      </c>
      <c r="H135" t="str">
        <f t="shared" si="2"/>
        <v>Row 128 - All mandatory fields must be given</v>
      </c>
      <c r="I135" t="s">
        <v>1391</v>
      </c>
      <c r="J135" t="b">
        <f>IF(OR(INDEX(OHZ_HAZ_CONSIGNMENT,128,1)="",AND(INDEX(OHZ_HAZ_DPGREF,128,1)&lt;&gt;"",INDEX(OHZ_HAZ_CONSIGNMENT,128,1)=INDEX(OHZ_HAZ_CONSIGNMENT,127,1),INDEX(OHZ_HAZ_DPGREF,128,1)=INDEX(OHZ_HAZ_DPGREF,127,1))),TRUE,AND(INDEX(OHZ_HAZ_DGCLASSIFI,128,1)&lt;&gt;"",INDEX(OHZ_HAZ_TEXTUALREF,128,1)&lt;&gt;"",INDEX(OHZ_HAZ_TOTAMOUNT,128,1)&lt;&gt;""))</f>
        <v>1</v>
      </c>
      <c r="K135" t="str">
        <f t="shared" si="3"/>
        <v>Row 128 - All mandatory fields must be given</v>
      </c>
      <c r="L135" t="s">
        <v>1391</v>
      </c>
      <c r="T135" t="s">
        <v>1736</v>
      </c>
    </row>
    <row r="136" spans="4:20" x14ac:dyDescent="0.25">
      <c r="F136" t="s">
        <v>1391</v>
      </c>
      <c r="G136" t="b">
        <f>IF(OR(INDEX(IHZ_HAZ_CONSIGNMENT,129,1)="",AND(INDEX(IHZ_HAZ_DPGREF,129,1)&lt;&gt;"",INDEX(IHZ_HAZ_CONSIGNMENT,129,1)=INDEX(IHZ_HAZ_CONSIGNMENT,128,1),INDEX(IHZ_HAZ_DPGREF,129,1)=INDEX(IHZ_HAZ_DPGREF,128,1))),TRUE,AND(INDEX(IHZ_HAZ_DGCLASSIFI,129,1)&lt;&gt;"",INDEX(IHZ_HAZ_TEXTUALREF,129,1)&lt;&gt;"",INDEX(IHZ_HAZ_TOTAMOUNT,129,1)&lt;&gt;""))</f>
        <v>1</v>
      </c>
      <c r="H136" t="str">
        <f t="shared" si="2"/>
        <v>Row 129 - All mandatory fields must be given</v>
      </c>
      <c r="I136" t="s">
        <v>1391</v>
      </c>
      <c r="J136" t="b">
        <f>IF(OR(INDEX(OHZ_HAZ_CONSIGNMENT,129,1)="",AND(INDEX(OHZ_HAZ_DPGREF,129,1)&lt;&gt;"",INDEX(OHZ_HAZ_CONSIGNMENT,129,1)=INDEX(OHZ_HAZ_CONSIGNMENT,128,1),INDEX(OHZ_HAZ_DPGREF,129,1)=INDEX(OHZ_HAZ_DPGREF,128,1))),TRUE,AND(INDEX(OHZ_HAZ_DGCLASSIFI,129,1)&lt;&gt;"",INDEX(OHZ_HAZ_TEXTUALREF,129,1)&lt;&gt;"",INDEX(OHZ_HAZ_TOTAMOUNT,129,1)&lt;&gt;""))</f>
        <v>1</v>
      </c>
      <c r="K136" t="str">
        <f t="shared" si="3"/>
        <v>Row 129 - All mandatory fields must be given</v>
      </c>
      <c r="L136" t="s">
        <v>1391</v>
      </c>
      <c r="T136" t="s">
        <v>1737</v>
      </c>
    </row>
    <row r="137" spans="4:20" x14ac:dyDescent="0.25">
      <c r="F137" t="s">
        <v>1391</v>
      </c>
      <c r="G137" t="b">
        <f>IF(OR(INDEX(IHZ_HAZ_CONSIGNMENT,130,1)="",AND(INDEX(IHZ_HAZ_DPGREF,130,1)&lt;&gt;"",INDEX(IHZ_HAZ_CONSIGNMENT,130,1)=INDEX(IHZ_HAZ_CONSIGNMENT,129,1),INDEX(IHZ_HAZ_DPGREF,130,1)=INDEX(IHZ_HAZ_DPGREF,129,1))),TRUE,AND(INDEX(IHZ_HAZ_DGCLASSIFI,130,1)&lt;&gt;"",INDEX(IHZ_HAZ_TEXTUALREF,130,1)&lt;&gt;"",INDEX(IHZ_HAZ_TOTAMOUNT,130,1)&lt;&gt;""))</f>
        <v>1</v>
      </c>
      <c r="H137" t="str">
        <f t="shared" ref="H137:H200" si="4">T130&amp;$V$1</f>
        <v>Row 130 - All mandatory fields must be given</v>
      </c>
      <c r="I137" t="s">
        <v>1391</v>
      </c>
      <c r="J137" t="b">
        <f>IF(OR(INDEX(OHZ_HAZ_CONSIGNMENT,130,1)="",AND(INDEX(OHZ_HAZ_DPGREF,130,1)&lt;&gt;"",INDEX(OHZ_HAZ_CONSIGNMENT,130,1)=INDEX(OHZ_HAZ_CONSIGNMENT,129,1),INDEX(OHZ_HAZ_DPGREF,130,1)=INDEX(OHZ_HAZ_DPGREF,129,1))),TRUE,AND(INDEX(OHZ_HAZ_DGCLASSIFI,130,1)&lt;&gt;"",INDEX(OHZ_HAZ_TEXTUALREF,130,1)&lt;&gt;"",INDEX(OHZ_HAZ_TOTAMOUNT,130,1)&lt;&gt;""))</f>
        <v>1</v>
      </c>
      <c r="K137" t="str">
        <f t="shared" ref="K137:K200" si="5">T130&amp;$V$1</f>
        <v>Row 130 - All mandatory fields must be given</v>
      </c>
      <c r="L137" t="s">
        <v>1391</v>
      </c>
      <c r="T137" t="s">
        <v>1738</v>
      </c>
    </row>
    <row r="138" spans="4:20" x14ac:dyDescent="0.25">
      <c r="F138" t="s">
        <v>1391</v>
      </c>
      <c r="G138" t="b">
        <f>IF(OR(INDEX(IHZ_HAZ_CONSIGNMENT,131,1)="",AND(INDEX(IHZ_HAZ_DPGREF,131,1)&lt;&gt;"",INDEX(IHZ_HAZ_CONSIGNMENT,131,1)=INDEX(IHZ_HAZ_CONSIGNMENT,130,1),INDEX(IHZ_HAZ_DPGREF,131,1)=INDEX(IHZ_HAZ_DPGREF,130,1))),TRUE,AND(INDEX(IHZ_HAZ_DGCLASSIFI,131,1)&lt;&gt;"",INDEX(IHZ_HAZ_TEXTUALREF,131,1)&lt;&gt;"",INDEX(IHZ_HAZ_TOTAMOUNT,131,1)&lt;&gt;""))</f>
        <v>1</v>
      </c>
      <c r="H138" t="str">
        <f t="shared" si="4"/>
        <v>Row 131 - All mandatory fields must be given</v>
      </c>
      <c r="I138" t="s">
        <v>1391</v>
      </c>
      <c r="J138" t="b">
        <f>IF(OR(INDEX(OHZ_HAZ_CONSIGNMENT,131,1)="",AND(INDEX(OHZ_HAZ_DPGREF,131,1)&lt;&gt;"",INDEX(OHZ_HAZ_CONSIGNMENT,131,1)=INDEX(OHZ_HAZ_CONSIGNMENT,130,1),INDEX(OHZ_HAZ_DPGREF,131,1)=INDEX(OHZ_HAZ_DPGREF,130,1))),TRUE,AND(INDEX(OHZ_HAZ_DGCLASSIFI,131,1)&lt;&gt;"",INDEX(OHZ_HAZ_TEXTUALREF,131,1)&lt;&gt;"",INDEX(OHZ_HAZ_TOTAMOUNT,131,1)&lt;&gt;""))</f>
        <v>1</v>
      </c>
      <c r="K138" t="str">
        <f t="shared" si="5"/>
        <v>Row 131 - All mandatory fields must be given</v>
      </c>
      <c r="L138" t="s">
        <v>1391</v>
      </c>
      <c r="T138" t="s">
        <v>1739</v>
      </c>
    </row>
    <row r="139" spans="4:20" x14ac:dyDescent="0.25">
      <c r="F139" t="s">
        <v>1391</v>
      </c>
      <c r="G139" t="b">
        <f>IF(OR(INDEX(IHZ_HAZ_CONSIGNMENT,132,1)="",AND(INDEX(IHZ_HAZ_DPGREF,132,1)&lt;&gt;"",INDEX(IHZ_HAZ_CONSIGNMENT,132,1)=INDEX(IHZ_HAZ_CONSIGNMENT,131,1),INDEX(IHZ_HAZ_DPGREF,132,1)=INDEX(IHZ_HAZ_DPGREF,131,1))),TRUE,AND(INDEX(IHZ_HAZ_DGCLASSIFI,132,1)&lt;&gt;"",INDEX(IHZ_HAZ_TEXTUALREF,132,1)&lt;&gt;"",INDEX(IHZ_HAZ_TOTAMOUNT,132,1)&lt;&gt;""))</f>
        <v>1</v>
      </c>
      <c r="H139" t="str">
        <f t="shared" si="4"/>
        <v>Row 132 - All mandatory fields must be given</v>
      </c>
      <c r="I139" t="s">
        <v>1391</v>
      </c>
      <c r="J139" t="b">
        <f>IF(OR(INDEX(OHZ_HAZ_CONSIGNMENT,132,1)="",AND(INDEX(OHZ_HAZ_DPGREF,132,1)&lt;&gt;"",INDEX(OHZ_HAZ_CONSIGNMENT,132,1)=INDEX(OHZ_HAZ_CONSIGNMENT,131,1),INDEX(OHZ_HAZ_DPGREF,132,1)=INDEX(OHZ_HAZ_DPGREF,131,1))),TRUE,AND(INDEX(OHZ_HAZ_DGCLASSIFI,132,1)&lt;&gt;"",INDEX(OHZ_HAZ_TEXTUALREF,132,1)&lt;&gt;"",INDEX(OHZ_HAZ_TOTAMOUNT,132,1)&lt;&gt;""))</f>
        <v>1</v>
      </c>
      <c r="K139" t="str">
        <f t="shared" si="5"/>
        <v>Row 132 - All mandatory fields must be given</v>
      </c>
      <c r="L139" t="s">
        <v>1391</v>
      </c>
      <c r="T139" t="s">
        <v>1740</v>
      </c>
    </row>
    <row r="140" spans="4:20" x14ac:dyDescent="0.25">
      <c r="F140" t="s">
        <v>1391</v>
      </c>
      <c r="G140" t="b">
        <f>IF(OR(INDEX(IHZ_HAZ_CONSIGNMENT,133,1)="",AND(INDEX(IHZ_HAZ_DPGREF,133,1)&lt;&gt;"",INDEX(IHZ_HAZ_CONSIGNMENT,133,1)=INDEX(IHZ_HAZ_CONSIGNMENT,132,1),INDEX(IHZ_HAZ_DPGREF,133,1)=INDEX(IHZ_HAZ_DPGREF,132,1))),TRUE,AND(INDEX(IHZ_HAZ_DGCLASSIFI,133,1)&lt;&gt;"",INDEX(IHZ_HAZ_TEXTUALREF,133,1)&lt;&gt;"",INDEX(IHZ_HAZ_TOTAMOUNT,133,1)&lt;&gt;""))</f>
        <v>1</v>
      </c>
      <c r="H140" t="str">
        <f t="shared" si="4"/>
        <v>Row 133 - All mandatory fields must be given</v>
      </c>
      <c r="I140" t="s">
        <v>1391</v>
      </c>
      <c r="J140" t="b">
        <f>IF(OR(INDEX(OHZ_HAZ_CONSIGNMENT,133,1)="",AND(INDEX(OHZ_HAZ_DPGREF,133,1)&lt;&gt;"",INDEX(OHZ_HAZ_CONSIGNMENT,133,1)=INDEX(OHZ_HAZ_CONSIGNMENT,132,1),INDEX(OHZ_HAZ_DPGREF,133,1)=INDEX(OHZ_HAZ_DPGREF,132,1))),TRUE,AND(INDEX(OHZ_HAZ_DGCLASSIFI,133,1)&lt;&gt;"",INDEX(OHZ_HAZ_TEXTUALREF,133,1)&lt;&gt;"",INDEX(OHZ_HAZ_TOTAMOUNT,133,1)&lt;&gt;""))</f>
        <v>1</v>
      </c>
      <c r="K140" t="str">
        <f t="shared" si="5"/>
        <v>Row 133 - All mandatory fields must be given</v>
      </c>
      <c r="L140" t="s">
        <v>1391</v>
      </c>
      <c r="T140" t="s">
        <v>1741</v>
      </c>
    </row>
    <row r="141" spans="4:20" x14ac:dyDescent="0.25">
      <c r="F141" t="s">
        <v>1391</v>
      </c>
      <c r="G141" t="b">
        <f>IF(OR(INDEX(IHZ_HAZ_CONSIGNMENT,134,1)="",AND(INDEX(IHZ_HAZ_DPGREF,134,1)&lt;&gt;"",INDEX(IHZ_HAZ_CONSIGNMENT,134,1)=INDEX(IHZ_HAZ_CONSIGNMENT,133,1),INDEX(IHZ_HAZ_DPGREF,134,1)=INDEX(IHZ_HAZ_DPGREF,133,1))),TRUE,AND(INDEX(IHZ_HAZ_DGCLASSIFI,134,1)&lt;&gt;"",INDEX(IHZ_HAZ_TEXTUALREF,134,1)&lt;&gt;"",INDEX(IHZ_HAZ_TOTAMOUNT,134,1)&lt;&gt;""))</f>
        <v>1</v>
      </c>
      <c r="H141" t="str">
        <f t="shared" si="4"/>
        <v>Row 134 - All mandatory fields must be given</v>
      </c>
      <c r="I141" t="s">
        <v>1391</v>
      </c>
      <c r="J141" t="b">
        <f>IF(OR(INDEX(OHZ_HAZ_CONSIGNMENT,134,1)="",AND(INDEX(OHZ_HAZ_DPGREF,134,1)&lt;&gt;"",INDEX(OHZ_HAZ_CONSIGNMENT,134,1)=INDEX(OHZ_HAZ_CONSIGNMENT,133,1),INDEX(OHZ_HAZ_DPGREF,134,1)=INDEX(OHZ_HAZ_DPGREF,133,1))),TRUE,AND(INDEX(OHZ_HAZ_DGCLASSIFI,134,1)&lt;&gt;"",INDEX(OHZ_HAZ_TEXTUALREF,134,1)&lt;&gt;"",INDEX(OHZ_HAZ_TOTAMOUNT,134,1)&lt;&gt;""))</f>
        <v>1</v>
      </c>
      <c r="K141" t="str">
        <f t="shared" si="5"/>
        <v>Row 134 - All mandatory fields must be given</v>
      </c>
      <c r="L141" t="s">
        <v>1391</v>
      </c>
      <c r="T141" t="s">
        <v>1742</v>
      </c>
    </row>
    <row r="142" spans="4:20" x14ac:dyDescent="0.25">
      <c r="F142" t="s">
        <v>1391</v>
      </c>
      <c r="G142" t="b">
        <f>IF(OR(INDEX(IHZ_HAZ_CONSIGNMENT,135,1)="",AND(INDEX(IHZ_HAZ_DPGREF,135,1)&lt;&gt;"",INDEX(IHZ_HAZ_CONSIGNMENT,135,1)=INDEX(IHZ_HAZ_CONSIGNMENT,134,1),INDEX(IHZ_HAZ_DPGREF,135,1)=INDEX(IHZ_HAZ_DPGREF,134,1))),TRUE,AND(INDEX(IHZ_HAZ_DGCLASSIFI,135,1)&lt;&gt;"",INDEX(IHZ_HAZ_TEXTUALREF,135,1)&lt;&gt;"",INDEX(IHZ_HAZ_TOTAMOUNT,135,1)&lt;&gt;""))</f>
        <v>1</v>
      </c>
      <c r="H142" t="str">
        <f t="shared" si="4"/>
        <v>Row 135 - All mandatory fields must be given</v>
      </c>
      <c r="I142" t="s">
        <v>1391</v>
      </c>
      <c r="J142" t="b">
        <f>IF(OR(INDEX(OHZ_HAZ_CONSIGNMENT,135,1)="",AND(INDEX(OHZ_HAZ_DPGREF,135,1)&lt;&gt;"",INDEX(OHZ_HAZ_CONSIGNMENT,135,1)=INDEX(OHZ_HAZ_CONSIGNMENT,134,1),INDEX(OHZ_HAZ_DPGREF,135,1)=INDEX(OHZ_HAZ_DPGREF,134,1))),TRUE,AND(INDEX(OHZ_HAZ_DGCLASSIFI,135,1)&lt;&gt;"",INDEX(OHZ_HAZ_TEXTUALREF,135,1)&lt;&gt;"",INDEX(OHZ_HAZ_TOTAMOUNT,135,1)&lt;&gt;""))</f>
        <v>1</v>
      </c>
      <c r="K142" t="str">
        <f t="shared" si="5"/>
        <v>Row 135 - All mandatory fields must be given</v>
      </c>
      <c r="L142" t="s">
        <v>1391</v>
      </c>
      <c r="T142" t="s">
        <v>1743</v>
      </c>
    </row>
    <row r="143" spans="4:20" x14ac:dyDescent="0.25">
      <c r="F143" t="s">
        <v>1391</v>
      </c>
      <c r="G143" t="b">
        <f>IF(OR(INDEX(IHZ_HAZ_CONSIGNMENT,136,1)="",AND(INDEX(IHZ_HAZ_DPGREF,136,1)&lt;&gt;"",INDEX(IHZ_HAZ_CONSIGNMENT,136,1)=INDEX(IHZ_HAZ_CONSIGNMENT,135,1),INDEX(IHZ_HAZ_DPGREF,136,1)=INDEX(IHZ_HAZ_DPGREF,135,1))),TRUE,AND(INDEX(IHZ_HAZ_DGCLASSIFI,136,1)&lt;&gt;"",INDEX(IHZ_HAZ_TEXTUALREF,136,1)&lt;&gt;"",INDEX(IHZ_HAZ_TOTAMOUNT,136,1)&lt;&gt;""))</f>
        <v>1</v>
      </c>
      <c r="H143" t="str">
        <f t="shared" si="4"/>
        <v>Row 136 - All mandatory fields must be given</v>
      </c>
      <c r="I143" t="s">
        <v>1391</v>
      </c>
      <c r="J143" t="b">
        <f>IF(OR(INDEX(OHZ_HAZ_CONSIGNMENT,136,1)="",AND(INDEX(OHZ_HAZ_DPGREF,136,1)&lt;&gt;"",INDEX(OHZ_HAZ_CONSIGNMENT,136,1)=INDEX(OHZ_HAZ_CONSIGNMENT,135,1),INDEX(OHZ_HAZ_DPGREF,136,1)=INDEX(OHZ_HAZ_DPGREF,135,1))),TRUE,AND(INDEX(OHZ_HAZ_DGCLASSIFI,136,1)&lt;&gt;"",INDEX(OHZ_HAZ_TEXTUALREF,136,1)&lt;&gt;"",INDEX(OHZ_HAZ_TOTAMOUNT,136,1)&lt;&gt;""))</f>
        <v>1</v>
      </c>
      <c r="K143" t="str">
        <f t="shared" si="5"/>
        <v>Row 136 - All mandatory fields must be given</v>
      </c>
      <c r="L143" t="s">
        <v>1391</v>
      </c>
      <c r="T143" t="s">
        <v>1744</v>
      </c>
    </row>
    <row r="144" spans="4:20" x14ac:dyDescent="0.25">
      <c r="F144" t="s">
        <v>1391</v>
      </c>
      <c r="G144" t="b">
        <f>IF(OR(INDEX(IHZ_HAZ_CONSIGNMENT,137,1)="",AND(INDEX(IHZ_HAZ_DPGREF,137,1)&lt;&gt;"",INDEX(IHZ_HAZ_CONSIGNMENT,137,1)=INDEX(IHZ_HAZ_CONSIGNMENT,136,1),INDEX(IHZ_HAZ_DPGREF,137,1)=INDEX(IHZ_HAZ_DPGREF,136,1))),TRUE,AND(INDEX(IHZ_HAZ_DGCLASSIFI,137,1)&lt;&gt;"",INDEX(IHZ_HAZ_TEXTUALREF,137,1)&lt;&gt;"",INDEX(IHZ_HAZ_TOTAMOUNT,137,1)&lt;&gt;""))</f>
        <v>1</v>
      </c>
      <c r="H144" t="str">
        <f t="shared" si="4"/>
        <v>Row 137 - All mandatory fields must be given</v>
      </c>
      <c r="I144" t="s">
        <v>1391</v>
      </c>
      <c r="J144" t="b">
        <f>IF(OR(INDEX(OHZ_HAZ_CONSIGNMENT,137,1)="",AND(INDEX(OHZ_HAZ_DPGREF,137,1)&lt;&gt;"",INDEX(OHZ_HAZ_CONSIGNMENT,137,1)=INDEX(OHZ_HAZ_CONSIGNMENT,136,1),INDEX(OHZ_HAZ_DPGREF,137,1)=INDEX(OHZ_HAZ_DPGREF,136,1))),TRUE,AND(INDEX(OHZ_HAZ_DGCLASSIFI,137,1)&lt;&gt;"",INDEX(OHZ_HAZ_TEXTUALREF,137,1)&lt;&gt;"",INDEX(OHZ_HAZ_TOTAMOUNT,137,1)&lt;&gt;""))</f>
        <v>1</v>
      </c>
      <c r="K144" t="str">
        <f t="shared" si="5"/>
        <v>Row 137 - All mandatory fields must be given</v>
      </c>
      <c r="L144" t="s">
        <v>1391</v>
      </c>
      <c r="T144" t="s">
        <v>1745</v>
      </c>
    </row>
    <row r="145" spans="6:20" x14ac:dyDescent="0.25">
      <c r="F145" t="s">
        <v>1391</v>
      </c>
      <c r="G145" t="b">
        <f>IF(OR(INDEX(IHZ_HAZ_CONSIGNMENT,138,1)="",AND(INDEX(IHZ_HAZ_DPGREF,138,1)&lt;&gt;"",INDEX(IHZ_HAZ_CONSIGNMENT,138,1)=INDEX(IHZ_HAZ_CONSIGNMENT,137,1),INDEX(IHZ_HAZ_DPGREF,138,1)=INDEX(IHZ_HAZ_DPGREF,137,1))),TRUE,AND(INDEX(IHZ_HAZ_DGCLASSIFI,138,1)&lt;&gt;"",INDEX(IHZ_HAZ_TEXTUALREF,138,1)&lt;&gt;"",INDEX(IHZ_HAZ_TOTAMOUNT,138,1)&lt;&gt;""))</f>
        <v>1</v>
      </c>
      <c r="H145" t="str">
        <f t="shared" si="4"/>
        <v>Row 138 - All mandatory fields must be given</v>
      </c>
      <c r="I145" t="s">
        <v>1391</v>
      </c>
      <c r="J145" t="b">
        <f>IF(OR(INDEX(OHZ_HAZ_CONSIGNMENT,138,1)="",AND(INDEX(OHZ_HAZ_DPGREF,138,1)&lt;&gt;"",INDEX(OHZ_HAZ_CONSIGNMENT,138,1)=INDEX(OHZ_HAZ_CONSIGNMENT,137,1),INDEX(OHZ_HAZ_DPGREF,138,1)=INDEX(OHZ_HAZ_DPGREF,137,1))),TRUE,AND(INDEX(OHZ_HAZ_DGCLASSIFI,138,1)&lt;&gt;"",INDEX(OHZ_HAZ_TEXTUALREF,138,1)&lt;&gt;"",INDEX(OHZ_HAZ_TOTAMOUNT,138,1)&lt;&gt;""))</f>
        <v>1</v>
      </c>
      <c r="K145" t="str">
        <f t="shared" si="5"/>
        <v>Row 138 - All mandatory fields must be given</v>
      </c>
      <c r="L145" t="s">
        <v>1391</v>
      </c>
      <c r="T145" t="s">
        <v>1746</v>
      </c>
    </row>
    <row r="146" spans="6:20" x14ac:dyDescent="0.25">
      <c r="F146" t="s">
        <v>1391</v>
      </c>
      <c r="G146" t="b">
        <f>IF(OR(INDEX(IHZ_HAZ_CONSIGNMENT,139,1)="",AND(INDEX(IHZ_HAZ_DPGREF,139,1)&lt;&gt;"",INDEX(IHZ_HAZ_CONSIGNMENT,139,1)=INDEX(IHZ_HAZ_CONSIGNMENT,138,1),INDEX(IHZ_HAZ_DPGREF,139,1)=INDEX(IHZ_HAZ_DPGREF,138,1))),TRUE,AND(INDEX(IHZ_HAZ_DGCLASSIFI,139,1)&lt;&gt;"",INDEX(IHZ_HAZ_TEXTUALREF,139,1)&lt;&gt;"",INDEX(IHZ_HAZ_TOTAMOUNT,139,1)&lt;&gt;""))</f>
        <v>1</v>
      </c>
      <c r="H146" t="str">
        <f t="shared" si="4"/>
        <v>Row 139 - All mandatory fields must be given</v>
      </c>
      <c r="I146" t="s">
        <v>1391</v>
      </c>
      <c r="J146" t="b">
        <f>IF(OR(INDEX(OHZ_HAZ_CONSIGNMENT,139,1)="",AND(INDEX(OHZ_HAZ_DPGREF,139,1)&lt;&gt;"",INDEX(OHZ_HAZ_CONSIGNMENT,139,1)=INDEX(OHZ_HAZ_CONSIGNMENT,138,1),INDEX(OHZ_HAZ_DPGREF,139,1)=INDEX(OHZ_HAZ_DPGREF,138,1))),TRUE,AND(INDEX(OHZ_HAZ_DGCLASSIFI,139,1)&lt;&gt;"",INDEX(OHZ_HAZ_TEXTUALREF,139,1)&lt;&gt;"",INDEX(OHZ_HAZ_TOTAMOUNT,139,1)&lt;&gt;""))</f>
        <v>1</v>
      </c>
      <c r="K146" t="str">
        <f t="shared" si="5"/>
        <v>Row 139 - All mandatory fields must be given</v>
      </c>
      <c r="L146" t="s">
        <v>1391</v>
      </c>
      <c r="T146" t="s">
        <v>1747</v>
      </c>
    </row>
    <row r="147" spans="6:20" x14ac:dyDescent="0.25">
      <c r="F147" t="s">
        <v>1391</v>
      </c>
      <c r="G147" t="b">
        <f>IF(OR(INDEX(IHZ_HAZ_CONSIGNMENT,140,1)="",AND(INDEX(IHZ_HAZ_DPGREF,140,1)&lt;&gt;"",INDEX(IHZ_HAZ_CONSIGNMENT,140,1)=INDEX(IHZ_HAZ_CONSIGNMENT,139,1),INDEX(IHZ_HAZ_DPGREF,140,1)=INDEX(IHZ_HAZ_DPGREF,139,1))),TRUE,AND(INDEX(IHZ_HAZ_DGCLASSIFI,140,1)&lt;&gt;"",INDEX(IHZ_HAZ_TEXTUALREF,140,1)&lt;&gt;"",INDEX(IHZ_HAZ_TOTAMOUNT,140,1)&lt;&gt;""))</f>
        <v>1</v>
      </c>
      <c r="H147" t="str">
        <f t="shared" si="4"/>
        <v>Row 140 - All mandatory fields must be given</v>
      </c>
      <c r="I147" t="s">
        <v>1391</v>
      </c>
      <c r="J147" t="b">
        <f>IF(OR(INDEX(OHZ_HAZ_CONSIGNMENT,140,1)="",AND(INDEX(OHZ_HAZ_DPGREF,140,1)&lt;&gt;"",INDEX(OHZ_HAZ_CONSIGNMENT,140,1)=INDEX(OHZ_HAZ_CONSIGNMENT,139,1),INDEX(OHZ_HAZ_DPGREF,140,1)=INDEX(OHZ_HAZ_DPGREF,139,1))),TRUE,AND(INDEX(OHZ_HAZ_DGCLASSIFI,140,1)&lt;&gt;"",INDEX(OHZ_HAZ_TEXTUALREF,140,1)&lt;&gt;"",INDEX(OHZ_HAZ_TOTAMOUNT,140,1)&lt;&gt;""))</f>
        <v>1</v>
      </c>
      <c r="K147" t="str">
        <f t="shared" si="5"/>
        <v>Row 140 - All mandatory fields must be given</v>
      </c>
      <c r="L147" t="s">
        <v>1391</v>
      </c>
      <c r="T147" t="s">
        <v>1748</v>
      </c>
    </row>
    <row r="148" spans="6:20" x14ac:dyDescent="0.25">
      <c r="F148" t="s">
        <v>1391</v>
      </c>
      <c r="G148" t="b">
        <f>IF(OR(INDEX(IHZ_HAZ_CONSIGNMENT,141,1)="",AND(INDEX(IHZ_HAZ_DPGREF,141,1)&lt;&gt;"",INDEX(IHZ_HAZ_CONSIGNMENT,141,1)=INDEX(IHZ_HAZ_CONSIGNMENT,140,1),INDEX(IHZ_HAZ_DPGREF,141,1)=INDEX(IHZ_HAZ_DPGREF,140,1))),TRUE,AND(INDEX(IHZ_HAZ_DGCLASSIFI,141,1)&lt;&gt;"",INDEX(IHZ_HAZ_TEXTUALREF,141,1)&lt;&gt;"",INDEX(IHZ_HAZ_TOTAMOUNT,141,1)&lt;&gt;""))</f>
        <v>1</v>
      </c>
      <c r="H148" t="str">
        <f t="shared" si="4"/>
        <v>Row 141 - All mandatory fields must be given</v>
      </c>
      <c r="I148" t="s">
        <v>1391</v>
      </c>
      <c r="J148" t="b">
        <f>IF(OR(INDEX(OHZ_HAZ_CONSIGNMENT,141,1)="",AND(INDEX(OHZ_HAZ_DPGREF,141,1)&lt;&gt;"",INDEX(OHZ_HAZ_CONSIGNMENT,141,1)=INDEX(OHZ_HAZ_CONSIGNMENT,140,1),INDEX(OHZ_HAZ_DPGREF,141,1)=INDEX(OHZ_HAZ_DPGREF,140,1))),TRUE,AND(INDEX(OHZ_HAZ_DGCLASSIFI,141,1)&lt;&gt;"",INDEX(OHZ_HAZ_TEXTUALREF,141,1)&lt;&gt;"",INDEX(OHZ_HAZ_TOTAMOUNT,141,1)&lt;&gt;""))</f>
        <v>1</v>
      </c>
      <c r="K148" t="str">
        <f t="shared" si="5"/>
        <v>Row 141 - All mandatory fields must be given</v>
      </c>
      <c r="L148" t="s">
        <v>1391</v>
      </c>
      <c r="T148" t="s">
        <v>1749</v>
      </c>
    </row>
    <row r="149" spans="6:20" x14ac:dyDescent="0.25">
      <c r="F149" t="s">
        <v>1391</v>
      </c>
      <c r="G149" t="b">
        <f>IF(OR(INDEX(IHZ_HAZ_CONSIGNMENT,142,1)="",AND(INDEX(IHZ_HAZ_DPGREF,142,1)&lt;&gt;"",INDEX(IHZ_HAZ_CONSIGNMENT,142,1)=INDEX(IHZ_HAZ_CONSIGNMENT,141,1),INDEX(IHZ_HAZ_DPGREF,142,1)=INDEX(IHZ_HAZ_DPGREF,141,1))),TRUE,AND(INDEX(IHZ_HAZ_DGCLASSIFI,142,1)&lt;&gt;"",INDEX(IHZ_HAZ_TEXTUALREF,142,1)&lt;&gt;"",INDEX(IHZ_HAZ_TOTAMOUNT,142,1)&lt;&gt;""))</f>
        <v>1</v>
      </c>
      <c r="H149" t="str">
        <f t="shared" si="4"/>
        <v>Row 142 - All mandatory fields must be given</v>
      </c>
      <c r="I149" t="s">
        <v>1391</v>
      </c>
      <c r="J149" t="b">
        <f>IF(OR(INDEX(OHZ_HAZ_CONSIGNMENT,142,1)="",AND(INDEX(OHZ_HAZ_DPGREF,142,1)&lt;&gt;"",INDEX(OHZ_HAZ_CONSIGNMENT,142,1)=INDEX(OHZ_HAZ_CONSIGNMENT,141,1),INDEX(OHZ_HAZ_DPGREF,142,1)=INDEX(OHZ_HAZ_DPGREF,141,1))),TRUE,AND(INDEX(OHZ_HAZ_DGCLASSIFI,142,1)&lt;&gt;"",INDEX(OHZ_HAZ_TEXTUALREF,142,1)&lt;&gt;"",INDEX(OHZ_HAZ_TOTAMOUNT,142,1)&lt;&gt;""))</f>
        <v>1</v>
      </c>
      <c r="K149" t="str">
        <f t="shared" si="5"/>
        <v>Row 142 - All mandatory fields must be given</v>
      </c>
      <c r="L149" t="s">
        <v>1391</v>
      </c>
      <c r="T149" t="s">
        <v>1750</v>
      </c>
    </row>
    <row r="150" spans="6:20" x14ac:dyDescent="0.25">
      <c r="F150" t="s">
        <v>1391</v>
      </c>
      <c r="G150" t="b">
        <f>IF(OR(INDEX(IHZ_HAZ_CONSIGNMENT,143,1)="",AND(INDEX(IHZ_HAZ_DPGREF,143,1)&lt;&gt;"",INDEX(IHZ_HAZ_CONSIGNMENT,143,1)=INDEX(IHZ_HAZ_CONSIGNMENT,142,1),INDEX(IHZ_HAZ_DPGREF,143,1)=INDEX(IHZ_HAZ_DPGREF,142,1))),TRUE,AND(INDEX(IHZ_HAZ_DGCLASSIFI,143,1)&lt;&gt;"",INDEX(IHZ_HAZ_TEXTUALREF,143,1)&lt;&gt;"",INDEX(IHZ_HAZ_TOTAMOUNT,143,1)&lt;&gt;""))</f>
        <v>1</v>
      </c>
      <c r="H150" t="str">
        <f t="shared" si="4"/>
        <v>Row 143 - All mandatory fields must be given</v>
      </c>
      <c r="I150" t="s">
        <v>1391</v>
      </c>
      <c r="J150" t="b">
        <f>IF(OR(INDEX(OHZ_HAZ_CONSIGNMENT,143,1)="",AND(INDEX(OHZ_HAZ_DPGREF,143,1)&lt;&gt;"",INDEX(OHZ_HAZ_CONSIGNMENT,143,1)=INDEX(OHZ_HAZ_CONSIGNMENT,142,1),INDEX(OHZ_HAZ_DPGREF,143,1)=INDEX(OHZ_HAZ_DPGREF,142,1))),TRUE,AND(INDEX(OHZ_HAZ_DGCLASSIFI,143,1)&lt;&gt;"",INDEX(OHZ_HAZ_TEXTUALREF,143,1)&lt;&gt;"",INDEX(OHZ_HAZ_TOTAMOUNT,143,1)&lt;&gt;""))</f>
        <v>1</v>
      </c>
      <c r="K150" t="str">
        <f t="shared" si="5"/>
        <v>Row 143 - All mandatory fields must be given</v>
      </c>
      <c r="L150" t="s">
        <v>1391</v>
      </c>
      <c r="T150" t="s">
        <v>1751</v>
      </c>
    </row>
    <row r="151" spans="6:20" x14ac:dyDescent="0.25">
      <c r="F151" t="s">
        <v>1391</v>
      </c>
      <c r="G151" t="b">
        <f>IF(OR(INDEX(IHZ_HAZ_CONSIGNMENT,144,1)="",AND(INDEX(IHZ_HAZ_DPGREF,144,1)&lt;&gt;"",INDEX(IHZ_HAZ_CONSIGNMENT,144,1)=INDEX(IHZ_HAZ_CONSIGNMENT,143,1),INDEX(IHZ_HAZ_DPGREF,144,1)=INDEX(IHZ_HAZ_DPGREF,143,1))),TRUE,AND(INDEX(IHZ_HAZ_DGCLASSIFI,144,1)&lt;&gt;"",INDEX(IHZ_HAZ_TEXTUALREF,144,1)&lt;&gt;"",INDEX(IHZ_HAZ_TOTAMOUNT,144,1)&lt;&gt;""))</f>
        <v>1</v>
      </c>
      <c r="H151" t="str">
        <f t="shared" si="4"/>
        <v>Row 144 - All mandatory fields must be given</v>
      </c>
      <c r="I151" t="s">
        <v>1391</v>
      </c>
      <c r="J151" t="b">
        <f>IF(OR(INDEX(OHZ_HAZ_CONSIGNMENT,144,1)="",AND(INDEX(OHZ_HAZ_DPGREF,144,1)&lt;&gt;"",INDEX(OHZ_HAZ_CONSIGNMENT,144,1)=INDEX(OHZ_HAZ_CONSIGNMENT,143,1),INDEX(OHZ_HAZ_DPGREF,144,1)=INDEX(OHZ_HAZ_DPGREF,143,1))),TRUE,AND(INDEX(OHZ_HAZ_DGCLASSIFI,144,1)&lt;&gt;"",INDEX(OHZ_HAZ_TEXTUALREF,144,1)&lt;&gt;"",INDEX(OHZ_HAZ_TOTAMOUNT,144,1)&lt;&gt;""))</f>
        <v>1</v>
      </c>
      <c r="K151" t="str">
        <f t="shared" si="5"/>
        <v>Row 144 - All mandatory fields must be given</v>
      </c>
      <c r="L151" t="s">
        <v>1391</v>
      </c>
      <c r="T151" t="s">
        <v>1752</v>
      </c>
    </row>
    <row r="152" spans="6:20" x14ac:dyDescent="0.25">
      <c r="F152" t="s">
        <v>1391</v>
      </c>
      <c r="G152" t="b">
        <f>IF(OR(INDEX(IHZ_HAZ_CONSIGNMENT,145,1)="",AND(INDEX(IHZ_HAZ_DPGREF,145,1)&lt;&gt;"",INDEX(IHZ_HAZ_CONSIGNMENT,145,1)=INDEX(IHZ_HAZ_CONSIGNMENT,144,1),INDEX(IHZ_HAZ_DPGREF,145,1)=INDEX(IHZ_HAZ_DPGREF,144,1))),TRUE,AND(INDEX(IHZ_HAZ_DGCLASSIFI,145,1)&lt;&gt;"",INDEX(IHZ_HAZ_TEXTUALREF,145,1)&lt;&gt;"",INDEX(IHZ_HAZ_TOTAMOUNT,145,1)&lt;&gt;""))</f>
        <v>1</v>
      </c>
      <c r="H152" t="str">
        <f t="shared" si="4"/>
        <v>Row 145 - All mandatory fields must be given</v>
      </c>
      <c r="I152" t="s">
        <v>1391</v>
      </c>
      <c r="J152" t="b">
        <f>IF(OR(INDEX(OHZ_HAZ_CONSIGNMENT,145,1)="",AND(INDEX(OHZ_HAZ_DPGREF,145,1)&lt;&gt;"",INDEX(OHZ_HAZ_CONSIGNMENT,145,1)=INDEX(OHZ_HAZ_CONSIGNMENT,144,1),INDEX(OHZ_HAZ_DPGREF,145,1)=INDEX(OHZ_HAZ_DPGREF,144,1))),TRUE,AND(INDEX(OHZ_HAZ_DGCLASSIFI,145,1)&lt;&gt;"",INDEX(OHZ_HAZ_TEXTUALREF,145,1)&lt;&gt;"",INDEX(OHZ_HAZ_TOTAMOUNT,145,1)&lt;&gt;""))</f>
        <v>1</v>
      </c>
      <c r="K152" t="str">
        <f t="shared" si="5"/>
        <v>Row 145 - All mandatory fields must be given</v>
      </c>
      <c r="L152" t="s">
        <v>1391</v>
      </c>
      <c r="T152" t="s">
        <v>1753</v>
      </c>
    </row>
    <row r="153" spans="6:20" x14ac:dyDescent="0.25">
      <c r="F153" t="s">
        <v>1391</v>
      </c>
      <c r="G153" t="b">
        <f>IF(OR(INDEX(IHZ_HAZ_CONSIGNMENT,146,1)="",AND(INDEX(IHZ_HAZ_DPGREF,146,1)&lt;&gt;"",INDEX(IHZ_HAZ_CONSIGNMENT,146,1)=INDEX(IHZ_HAZ_CONSIGNMENT,145,1),INDEX(IHZ_HAZ_DPGREF,146,1)=INDEX(IHZ_HAZ_DPGREF,145,1))),TRUE,AND(INDEX(IHZ_HAZ_DGCLASSIFI,146,1)&lt;&gt;"",INDEX(IHZ_HAZ_TEXTUALREF,146,1)&lt;&gt;"",INDEX(IHZ_HAZ_TOTAMOUNT,146,1)&lt;&gt;""))</f>
        <v>1</v>
      </c>
      <c r="H153" t="str">
        <f t="shared" si="4"/>
        <v>Row 146 - All mandatory fields must be given</v>
      </c>
      <c r="I153" t="s">
        <v>1391</v>
      </c>
      <c r="J153" t="b">
        <f>IF(OR(INDEX(OHZ_HAZ_CONSIGNMENT,146,1)="",AND(INDEX(OHZ_HAZ_DPGREF,146,1)&lt;&gt;"",INDEX(OHZ_HAZ_CONSIGNMENT,146,1)=INDEX(OHZ_HAZ_CONSIGNMENT,145,1),INDEX(OHZ_HAZ_DPGREF,146,1)=INDEX(OHZ_HAZ_DPGREF,145,1))),TRUE,AND(INDEX(OHZ_HAZ_DGCLASSIFI,146,1)&lt;&gt;"",INDEX(OHZ_HAZ_TEXTUALREF,146,1)&lt;&gt;"",INDEX(OHZ_HAZ_TOTAMOUNT,146,1)&lt;&gt;""))</f>
        <v>1</v>
      </c>
      <c r="K153" t="str">
        <f t="shared" si="5"/>
        <v>Row 146 - All mandatory fields must be given</v>
      </c>
      <c r="L153" t="s">
        <v>1391</v>
      </c>
      <c r="T153" t="s">
        <v>1754</v>
      </c>
    </row>
    <row r="154" spans="6:20" x14ac:dyDescent="0.25">
      <c r="F154" t="s">
        <v>1391</v>
      </c>
      <c r="G154" t="b">
        <f>IF(OR(INDEX(IHZ_HAZ_CONSIGNMENT,147,1)="",AND(INDEX(IHZ_HAZ_DPGREF,147,1)&lt;&gt;"",INDEX(IHZ_HAZ_CONSIGNMENT,147,1)=INDEX(IHZ_HAZ_CONSIGNMENT,146,1),INDEX(IHZ_HAZ_DPGREF,147,1)=INDEX(IHZ_HAZ_DPGREF,146,1))),TRUE,AND(INDEX(IHZ_HAZ_DGCLASSIFI,147,1)&lt;&gt;"",INDEX(IHZ_HAZ_TEXTUALREF,147,1)&lt;&gt;"",INDEX(IHZ_HAZ_TOTAMOUNT,147,1)&lt;&gt;""))</f>
        <v>1</v>
      </c>
      <c r="H154" t="str">
        <f t="shared" si="4"/>
        <v>Row 147 - All mandatory fields must be given</v>
      </c>
      <c r="I154" t="s">
        <v>1391</v>
      </c>
      <c r="J154" t="b">
        <f>IF(OR(INDEX(OHZ_HAZ_CONSIGNMENT,147,1)="",AND(INDEX(OHZ_HAZ_DPGREF,147,1)&lt;&gt;"",INDEX(OHZ_HAZ_CONSIGNMENT,147,1)=INDEX(OHZ_HAZ_CONSIGNMENT,146,1),INDEX(OHZ_HAZ_DPGREF,147,1)=INDEX(OHZ_HAZ_DPGREF,146,1))),TRUE,AND(INDEX(OHZ_HAZ_DGCLASSIFI,147,1)&lt;&gt;"",INDEX(OHZ_HAZ_TEXTUALREF,147,1)&lt;&gt;"",INDEX(OHZ_HAZ_TOTAMOUNT,147,1)&lt;&gt;""))</f>
        <v>1</v>
      </c>
      <c r="K154" t="str">
        <f t="shared" si="5"/>
        <v>Row 147 - All mandatory fields must be given</v>
      </c>
      <c r="L154" t="s">
        <v>1391</v>
      </c>
      <c r="T154" t="s">
        <v>1755</v>
      </c>
    </row>
    <row r="155" spans="6:20" x14ac:dyDescent="0.25">
      <c r="F155" t="s">
        <v>1391</v>
      </c>
      <c r="G155" t="b">
        <f>IF(OR(INDEX(IHZ_HAZ_CONSIGNMENT,148,1)="",AND(INDEX(IHZ_HAZ_DPGREF,148,1)&lt;&gt;"",INDEX(IHZ_HAZ_CONSIGNMENT,148,1)=INDEX(IHZ_HAZ_CONSIGNMENT,147,1),INDEX(IHZ_HAZ_DPGREF,148,1)=INDEX(IHZ_HAZ_DPGREF,147,1))),TRUE,AND(INDEX(IHZ_HAZ_DGCLASSIFI,148,1)&lt;&gt;"",INDEX(IHZ_HAZ_TEXTUALREF,148,1)&lt;&gt;"",INDEX(IHZ_HAZ_TOTAMOUNT,148,1)&lt;&gt;""))</f>
        <v>1</v>
      </c>
      <c r="H155" t="str">
        <f t="shared" si="4"/>
        <v>Row 148 - All mandatory fields must be given</v>
      </c>
      <c r="I155" t="s">
        <v>1391</v>
      </c>
      <c r="J155" t="b">
        <f>IF(OR(INDEX(OHZ_HAZ_CONSIGNMENT,148,1)="",AND(INDEX(OHZ_HAZ_DPGREF,148,1)&lt;&gt;"",INDEX(OHZ_HAZ_CONSIGNMENT,148,1)=INDEX(OHZ_HAZ_CONSIGNMENT,147,1),INDEX(OHZ_HAZ_DPGREF,148,1)=INDEX(OHZ_HAZ_DPGREF,147,1))),TRUE,AND(INDEX(OHZ_HAZ_DGCLASSIFI,148,1)&lt;&gt;"",INDEX(OHZ_HAZ_TEXTUALREF,148,1)&lt;&gt;"",INDEX(OHZ_HAZ_TOTAMOUNT,148,1)&lt;&gt;""))</f>
        <v>1</v>
      </c>
      <c r="K155" t="str">
        <f t="shared" si="5"/>
        <v>Row 148 - All mandatory fields must be given</v>
      </c>
      <c r="L155" t="s">
        <v>1391</v>
      </c>
      <c r="T155" t="s">
        <v>1756</v>
      </c>
    </row>
    <row r="156" spans="6:20" x14ac:dyDescent="0.25">
      <c r="F156" t="s">
        <v>1391</v>
      </c>
      <c r="G156" t="b">
        <f>IF(OR(INDEX(IHZ_HAZ_CONSIGNMENT,149,1)="",AND(INDEX(IHZ_HAZ_DPGREF,149,1)&lt;&gt;"",INDEX(IHZ_HAZ_CONSIGNMENT,149,1)=INDEX(IHZ_HAZ_CONSIGNMENT,148,1),INDEX(IHZ_HAZ_DPGREF,149,1)=INDEX(IHZ_HAZ_DPGREF,148,1))),TRUE,AND(INDEX(IHZ_HAZ_DGCLASSIFI,149,1)&lt;&gt;"",INDEX(IHZ_HAZ_TEXTUALREF,149,1)&lt;&gt;"",INDEX(IHZ_HAZ_TOTAMOUNT,149,1)&lt;&gt;""))</f>
        <v>1</v>
      </c>
      <c r="H156" t="str">
        <f t="shared" si="4"/>
        <v>Row 149 - All mandatory fields must be given</v>
      </c>
      <c r="I156" t="s">
        <v>1391</v>
      </c>
      <c r="J156" t="b">
        <f>IF(OR(INDEX(OHZ_HAZ_CONSIGNMENT,149,1)="",AND(INDEX(OHZ_HAZ_DPGREF,149,1)&lt;&gt;"",INDEX(OHZ_HAZ_CONSIGNMENT,149,1)=INDEX(OHZ_HAZ_CONSIGNMENT,148,1),INDEX(OHZ_HAZ_DPGREF,149,1)=INDEX(OHZ_HAZ_DPGREF,148,1))),TRUE,AND(INDEX(OHZ_HAZ_DGCLASSIFI,149,1)&lt;&gt;"",INDEX(OHZ_HAZ_TEXTUALREF,149,1)&lt;&gt;"",INDEX(OHZ_HAZ_TOTAMOUNT,149,1)&lt;&gt;""))</f>
        <v>1</v>
      </c>
      <c r="K156" t="str">
        <f t="shared" si="5"/>
        <v>Row 149 - All mandatory fields must be given</v>
      </c>
      <c r="L156" t="s">
        <v>1391</v>
      </c>
      <c r="T156" t="s">
        <v>1757</v>
      </c>
    </row>
    <row r="157" spans="6:20" x14ac:dyDescent="0.25">
      <c r="F157" t="s">
        <v>1391</v>
      </c>
      <c r="G157" t="b">
        <f>IF(OR(INDEX(IHZ_HAZ_CONSIGNMENT,150,1)="",AND(INDEX(IHZ_HAZ_DPGREF,150,1)&lt;&gt;"",INDEX(IHZ_HAZ_CONSIGNMENT,150,1)=INDEX(IHZ_HAZ_CONSIGNMENT,149,1),INDEX(IHZ_HAZ_DPGREF,150,1)=INDEX(IHZ_HAZ_DPGREF,149,1))),TRUE,AND(INDEX(IHZ_HAZ_DGCLASSIFI,150,1)&lt;&gt;"",INDEX(IHZ_HAZ_TEXTUALREF,150,1)&lt;&gt;"",INDEX(IHZ_HAZ_TOTAMOUNT,150,1)&lt;&gt;""))</f>
        <v>1</v>
      </c>
      <c r="H157" t="str">
        <f t="shared" si="4"/>
        <v>Row 150 - All mandatory fields must be given</v>
      </c>
      <c r="I157" t="s">
        <v>1391</v>
      </c>
      <c r="J157" t="b">
        <f>IF(OR(INDEX(OHZ_HAZ_CONSIGNMENT,150,1)="",AND(INDEX(OHZ_HAZ_DPGREF,150,1)&lt;&gt;"",INDEX(OHZ_HAZ_CONSIGNMENT,150,1)=INDEX(OHZ_HAZ_CONSIGNMENT,149,1),INDEX(OHZ_HAZ_DPGREF,150,1)=INDEX(OHZ_HAZ_DPGREF,149,1))),TRUE,AND(INDEX(OHZ_HAZ_DGCLASSIFI,150,1)&lt;&gt;"",INDEX(OHZ_HAZ_TEXTUALREF,150,1)&lt;&gt;"",INDEX(OHZ_HAZ_TOTAMOUNT,150,1)&lt;&gt;""))</f>
        <v>1</v>
      </c>
      <c r="K157" t="str">
        <f t="shared" si="5"/>
        <v>Row 150 - All mandatory fields must be given</v>
      </c>
      <c r="L157" t="s">
        <v>1391</v>
      </c>
      <c r="T157" t="s">
        <v>1758</v>
      </c>
    </row>
    <row r="158" spans="6:20" x14ac:dyDescent="0.25">
      <c r="F158" t="s">
        <v>1391</v>
      </c>
      <c r="G158" t="b">
        <f>IF(OR(INDEX(IHZ_HAZ_CONSIGNMENT,151,1)="",AND(INDEX(IHZ_HAZ_DPGREF,151,1)&lt;&gt;"",INDEX(IHZ_HAZ_CONSIGNMENT,151,1)=INDEX(IHZ_HAZ_CONSIGNMENT,150,1),INDEX(IHZ_HAZ_DPGREF,151,1)=INDEX(IHZ_HAZ_DPGREF,150,1))),TRUE,AND(INDEX(IHZ_HAZ_DGCLASSIFI,151,1)&lt;&gt;"",INDEX(IHZ_HAZ_TEXTUALREF,151,1)&lt;&gt;"",INDEX(IHZ_HAZ_TOTAMOUNT,151,1)&lt;&gt;""))</f>
        <v>1</v>
      </c>
      <c r="H158" t="str">
        <f t="shared" si="4"/>
        <v>Row 151 - All mandatory fields must be given</v>
      </c>
      <c r="I158" t="s">
        <v>1391</v>
      </c>
      <c r="J158" t="b">
        <f>IF(OR(INDEX(OHZ_HAZ_CONSIGNMENT,151,1)="",AND(INDEX(OHZ_HAZ_DPGREF,151,1)&lt;&gt;"",INDEX(OHZ_HAZ_CONSIGNMENT,151,1)=INDEX(OHZ_HAZ_CONSIGNMENT,150,1),INDEX(OHZ_HAZ_DPGREF,151,1)=INDEX(OHZ_HAZ_DPGREF,150,1))),TRUE,AND(INDEX(OHZ_HAZ_DGCLASSIFI,151,1)&lt;&gt;"",INDEX(OHZ_HAZ_TEXTUALREF,151,1)&lt;&gt;"",INDEX(OHZ_HAZ_TOTAMOUNT,151,1)&lt;&gt;""))</f>
        <v>1</v>
      </c>
      <c r="K158" t="str">
        <f t="shared" si="5"/>
        <v>Row 151 - All mandatory fields must be given</v>
      </c>
      <c r="L158" t="s">
        <v>1391</v>
      </c>
      <c r="T158" t="s">
        <v>1759</v>
      </c>
    </row>
    <row r="159" spans="6:20" x14ac:dyDescent="0.25">
      <c r="F159" t="s">
        <v>1391</v>
      </c>
      <c r="G159" t="b">
        <f>IF(OR(INDEX(IHZ_HAZ_CONSIGNMENT,152,1)="",AND(INDEX(IHZ_HAZ_DPGREF,152,1)&lt;&gt;"",INDEX(IHZ_HAZ_CONSIGNMENT,152,1)=INDEX(IHZ_HAZ_CONSIGNMENT,151,1),INDEX(IHZ_HAZ_DPGREF,152,1)=INDEX(IHZ_HAZ_DPGREF,151,1))),TRUE,AND(INDEX(IHZ_HAZ_DGCLASSIFI,152,1)&lt;&gt;"",INDEX(IHZ_HAZ_TEXTUALREF,152,1)&lt;&gt;"",INDEX(IHZ_HAZ_TOTAMOUNT,152,1)&lt;&gt;""))</f>
        <v>1</v>
      </c>
      <c r="H159" t="str">
        <f t="shared" si="4"/>
        <v>Row 152 - All mandatory fields must be given</v>
      </c>
      <c r="I159" t="s">
        <v>1391</v>
      </c>
      <c r="J159" t="b">
        <f>IF(OR(INDEX(OHZ_HAZ_CONSIGNMENT,152,1)="",AND(INDEX(OHZ_HAZ_DPGREF,152,1)&lt;&gt;"",INDEX(OHZ_HAZ_CONSIGNMENT,152,1)=INDEX(OHZ_HAZ_CONSIGNMENT,151,1),INDEX(OHZ_HAZ_DPGREF,152,1)=INDEX(OHZ_HAZ_DPGREF,151,1))),TRUE,AND(INDEX(OHZ_HAZ_DGCLASSIFI,152,1)&lt;&gt;"",INDEX(OHZ_HAZ_TEXTUALREF,152,1)&lt;&gt;"",INDEX(OHZ_HAZ_TOTAMOUNT,152,1)&lt;&gt;""))</f>
        <v>1</v>
      </c>
      <c r="K159" t="str">
        <f t="shared" si="5"/>
        <v>Row 152 - All mandatory fields must be given</v>
      </c>
      <c r="L159" t="s">
        <v>1391</v>
      </c>
      <c r="T159" t="s">
        <v>1760</v>
      </c>
    </row>
    <row r="160" spans="6:20" x14ac:dyDescent="0.25">
      <c r="F160" t="s">
        <v>1391</v>
      </c>
      <c r="G160" t="b">
        <f>IF(OR(INDEX(IHZ_HAZ_CONSIGNMENT,153,1)="",AND(INDEX(IHZ_HAZ_DPGREF,153,1)&lt;&gt;"",INDEX(IHZ_HAZ_CONSIGNMENT,153,1)=INDEX(IHZ_HAZ_CONSIGNMENT,152,1),INDEX(IHZ_HAZ_DPGREF,153,1)=INDEX(IHZ_HAZ_DPGREF,152,1))),TRUE,AND(INDEX(IHZ_HAZ_DGCLASSIFI,153,1)&lt;&gt;"",INDEX(IHZ_HAZ_TEXTUALREF,153,1)&lt;&gt;"",INDEX(IHZ_HAZ_TOTAMOUNT,153,1)&lt;&gt;""))</f>
        <v>1</v>
      </c>
      <c r="H160" t="str">
        <f t="shared" si="4"/>
        <v>Row 153 - All mandatory fields must be given</v>
      </c>
      <c r="I160" t="s">
        <v>1391</v>
      </c>
      <c r="J160" t="b">
        <f>IF(OR(INDEX(OHZ_HAZ_CONSIGNMENT,153,1)="",AND(INDEX(OHZ_HAZ_DPGREF,153,1)&lt;&gt;"",INDEX(OHZ_HAZ_CONSIGNMENT,153,1)=INDEX(OHZ_HAZ_CONSIGNMENT,152,1),INDEX(OHZ_HAZ_DPGREF,153,1)=INDEX(OHZ_HAZ_DPGREF,152,1))),TRUE,AND(INDEX(OHZ_HAZ_DGCLASSIFI,153,1)&lt;&gt;"",INDEX(OHZ_HAZ_TEXTUALREF,153,1)&lt;&gt;"",INDEX(OHZ_HAZ_TOTAMOUNT,153,1)&lt;&gt;""))</f>
        <v>1</v>
      </c>
      <c r="K160" t="str">
        <f t="shared" si="5"/>
        <v>Row 153 - All mandatory fields must be given</v>
      </c>
      <c r="L160" t="s">
        <v>1391</v>
      </c>
      <c r="T160" t="s">
        <v>1761</v>
      </c>
    </row>
    <row r="161" spans="6:20" x14ac:dyDescent="0.25">
      <c r="F161" t="s">
        <v>1391</v>
      </c>
      <c r="G161" t="b">
        <f>IF(OR(INDEX(IHZ_HAZ_CONSIGNMENT,154,1)="",AND(INDEX(IHZ_HAZ_DPGREF,154,1)&lt;&gt;"",INDEX(IHZ_HAZ_CONSIGNMENT,154,1)=INDEX(IHZ_HAZ_CONSIGNMENT,153,1),INDEX(IHZ_HAZ_DPGREF,154,1)=INDEX(IHZ_HAZ_DPGREF,153,1))),TRUE,AND(INDEX(IHZ_HAZ_DGCLASSIFI,154,1)&lt;&gt;"",INDEX(IHZ_HAZ_TEXTUALREF,154,1)&lt;&gt;"",INDEX(IHZ_HAZ_TOTAMOUNT,154,1)&lt;&gt;""))</f>
        <v>1</v>
      </c>
      <c r="H161" t="str">
        <f t="shared" si="4"/>
        <v>Row 154 - All mandatory fields must be given</v>
      </c>
      <c r="I161" t="s">
        <v>1391</v>
      </c>
      <c r="J161" t="b">
        <f>IF(OR(INDEX(OHZ_HAZ_CONSIGNMENT,154,1)="",AND(INDEX(OHZ_HAZ_DPGREF,154,1)&lt;&gt;"",INDEX(OHZ_HAZ_CONSIGNMENT,154,1)=INDEX(OHZ_HAZ_CONSIGNMENT,153,1),INDEX(OHZ_HAZ_DPGREF,154,1)=INDEX(OHZ_HAZ_DPGREF,153,1))),TRUE,AND(INDEX(OHZ_HAZ_DGCLASSIFI,154,1)&lt;&gt;"",INDEX(OHZ_HAZ_TEXTUALREF,154,1)&lt;&gt;"",INDEX(OHZ_HAZ_TOTAMOUNT,154,1)&lt;&gt;""))</f>
        <v>1</v>
      </c>
      <c r="K161" t="str">
        <f t="shared" si="5"/>
        <v>Row 154 - All mandatory fields must be given</v>
      </c>
      <c r="L161" t="s">
        <v>1391</v>
      </c>
      <c r="T161" t="s">
        <v>1762</v>
      </c>
    </row>
    <row r="162" spans="6:20" x14ac:dyDescent="0.25">
      <c r="F162" t="s">
        <v>1391</v>
      </c>
      <c r="G162" t="b">
        <f>IF(OR(INDEX(IHZ_HAZ_CONSIGNMENT,155,1)="",AND(INDEX(IHZ_HAZ_DPGREF,155,1)&lt;&gt;"",INDEX(IHZ_HAZ_CONSIGNMENT,155,1)=INDEX(IHZ_HAZ_CONSIGNMENT,154,1),INDEX(IHZ_HAZ_DPGREF,155,1)=INDEX(IHZ_HAZ_DPGREF,154,1))),TRUE,AND(INDEX(IHZ_HAZ_DGCLASSIFI,155,1)&lt;&gt;"",INDEX(IHZ_HAZ_TEXTUALREF,155,1)&lt;&gt;"",INDEX(IHZ_HAZ_TOTAMOUNT,155,1)&lt;&gt;""))</f>
        <v>1</v>
      </c>
      <c r="H162" t="str">
        <f t="shared" si="4"/>
        <v>Row 155 - All mandatory fields must be given</v>
      </c>
      <c r="I162" t="s">
        <v>1391</v>
      </c>
      <c r="J162" t="b">
        <f>IF(OR(INDEX(OHZ_HAZ_CONSIGNMENT,155,1)="",AND(INDEX(OHZ_HAZ_DPGREF,155,1)&lt;&gt;"",INDEX(OHZ_HAZ_CONSIGNMENT,155,1)=INDEX(OHZ_HAZ_CONSIGNMENT,154,1),INDEX(OHZ_HAZ_DPGREF,155,1)=INDEX(OHZ_HAZ_DPGREF,154,1))),TRUE,AND(INDEX(OHZ_HAZ_DGCLASSIFI,155,1)&lt;&gt;"",INDEX(OHZ_HAZ_TEXTUALREF,155,1)&lt;&gt;"",INDEX(OHZ_HAZ_TOTAMOUNT,155,1)&lt;&gt;""))</f>
        <v>1</v>
      </c>
      <c r="K162" t="str">
        <f t="shared" si="5"/>
        <v>Row 155 - All mandatory fields must be given</v>
      </c>
      <c r="L162" t="s">
        <v>1391</v>
      </c>
      <c r="T162" t="s">
        <v>1763</v>
      </c>
    </row>
    <row r="163" spans="6:20" x14ac:dyDescent="0.25">
      <c r="F163" t="s">
        <v>1391</v>
      </c>
      <c r="G163" t="b">
        <f>IF(OR(INDEX(IHZ_HAZ_CONSIGNMENT,156,1)="",AND(INDEX(IHZ_HAZ_DPGREF,156,1)&lt;&gt;"",INDEX(IHZ_HAZ_CONSIGNMENT,156,1)=INDEX(IHZ_HAZ_CONSIGNMENT,155,1),INDEX(IHZ_HAZ_DPGREF,156,1)=INDEX(IHZ_HAZ_DPGREF,155,1))),TRUE,AND(INDEX(IHZ_HAZ_DGCLASSIFI,156,1)&lt;&gt;"",INDEX(IHZ_HAZ_TEXTUALREF,156,1)&lt;&gt;"",INDEX(IHZ_HAZ_TOTAMOUNT,156,1)&lt;&gt;""))</f>
        <v>1</v>
      </c>
      <c r="H163" t="str">
        <f t="shared" si="4"/>
        <v>Row 156 - All mandatory fields must be given</v>
      </c>
      <c r="I163" t="s">
        <v>1391</v>
      </c>
      <c r="J163" t="b">
        <f>IF(OR(INDEX(OHZ_HAZ_CONSIGNMENT,156,1)="",AND(INDEX(OHZ_HAZ_DPGREF,156,1)&lt;&gt;"",INDEX(OHZ_HAZ_CONSIGNMENT,156,1)=INDEX(OHZ_HAZ_CONSIGNMENT,155,1),INDEX(OHZ_HAZ_DPGREF,156,1)=INDEX(OHZ_HAZ_DPGREF,155,1))),TRUE,AND(INDEX(OHZ_HAZ_DGCLASSIFI,156,1)&lt;&gt;"",INDEX(OHZ_HAZ_TEXTUALREF,156,1)&lt;&gt;"",INDEX(OHZ_HAZ_TOTAMOUNT,156,1)&lt;&gt;""))</f>
        <v>1</v>
      </c>
      <c r="K163" t="str">
        <f t="shared" si="5"/>
        <v>Row 156 - All mandatory fields must be given</v>
      </c>
      <c r="L163" t="s">
        <v>1391</v>
      </c>
      <c r="T163" t="s">
        <v>1764</v>
      </c>
    </row>
    <row r="164" spans="6:20" x14ac:dyDescent="0.25">
      <c r="F164" t="s">
        <v>1391</v>
      </c>
      <c r="G164" t="b">
        <f>IF(OR(INDEX(IHZ_HAZ_CONSIGNMENT,157,1)="",AND(INDEX(IHZ_HAZ_DPGREF,157,1)&lt;&gt;"",INDEX(IHZ_HAZ_CONSIGNMENT,157,1)=INDEX(IHZ_HAZ_CONSIGNMENT,156,1),INDEX(IHZ_HAZ_DPGREF,157,1)=INDEX(IHZ_HAZ_DPGREF,156,1))),TRUE,AND(INDEX(IHZ_HAZ_DGCLASSIFI,157,1)&lt;&gt;"",INDEX(IHZ_HAZ_TEXTUALREF,157,1)&lt;&gt;"",INDEX(IHZ_HAZ_TOTAMOUNT,157,1)&lt;&gt;""))</f>
        <v>1</v>
      </c>
      <c r="H164" t="str">
        <f t="shared" si="4"/>
        <v>Row 157 - All mandatory fields must be given</v>
      </c>
      <c r="I164" t="s">
        <v>1391</v>
      </c>
      <c r="J164" t="b">
        <f>IF(OR(INDEX(OHZ_HAZ_CONSIGNMENT,157,1)="",AND(INDEX(OHZ_HAZ_DPGREF,157,1)&lt;&gt;"",INDEX(OHZ_HAZ_CONSIGNMENT,157,1)=INDEX(OHZ_HAZ_CONSIGNMENT,156,1),INDEX(OHZ_HAZ_DPGREF,157,1)=INDEX(OHZ_HAZ_DPGREF,156,1))),TRUE,AND(INDEX(OHZ_HAZ_DGCLASSIFI,157,1)&lt;&gt;"",INDEX(OHZ_HAZ_TEXTUALREF,157,1)&lt;&gt;"",INDEX(OHZ_HAZ_TOTAMOUNT,157,1)&lt;&gt;""))</f>
        <v>1</v>
      </c>
      <c r="K164" t="str">
        <f t="shared" si="5"/>
        <v>Row 157 - All mandatory fields must be given</v>
      </c>
      <c r="L164" t="s">
        <v>1391</v>
      </c>
      <c r="T164" t="s">
        <v>1765</v>
      </c>
    </row>
    <row r="165" spans="6:20" x14ac:dyDescent="0.25">
      <c r="F165" t="s">
        <v>1391</v>
      </c>
      <c r="G165" t="b">
        <f>IF(OR(INDEX(IHZ_HAZ_CONSIGNMENT,158,1)="",AND(INDEX(IHZ_HAZ_DPGREF,158,1)&lt;&gt;"",INDEX(IHZ_HAZ_CONSIGNMENT,158,1)=INDEX(IHZ_HAZ_CONSIGNMENT,157,1),INDEX(IHZ_HAZ_DPGREF,158,1)=INDEX(IHZ_HAZ_DPGREF,157,1))),TRUE,AND(INDEX(IHZ_HAZ_DGCLASSIFI,158,1)&lt;&gt;"",INDEX(IHZ_HAZ_TEXTUALREF,158,1)&lt;&gt;"",INDEX(IHZ_HAZ_TOTAMOUNT,158,1)&lt;&gt;""))</f>
        <v>1</v>
      </c>
      <c r="H165" t="str">
        <f t="shared" si="4"/>
        <v>Row 158 - All mandatory fields must be given</v>
      </c>
      <c r="I165" t="s">
        <v>1391</v>
      </c>
      <c r="J165" t="b">
        <f>IF(OR(INDEX(OHZ_HAZ_CONSIGNMENT,158,1)="",AND(INDEX(OHZ_HAZ_DPGREF,158,1)&lt;&gt;"",INDEX(OHZ_HAZ_CONSIGNMENT,158,1)=INDEX(OHZ_HAZ_CONSIGNMENT,157,1),INDEX(OHZ_HAZ_DPGREF,158,1)=INDEX(OHZ_HAZ_DPGREF,157,1))),TRUE,AND(INDEX(OHZ_HAZ_DGCLASSIFI,158,1)&lt;&gt;"",INDEX(OHZ_HAZ_TEXTUALREF,158,1)&lt;&gt;"",INDEX(OHZ_HAZ_TOTAMOUNT,158,1)&lt;&gt;""))</f>
        <v>1</v>
      </c>
      <c r="K165" t="str">
        <f t="shared" si="5"/>
        <v>Row 158 - All mandatory fields must be given</v>
      </c>
      <c r="L165" t="s">
        <v>1391</v>
      </c>
      <c r="T165" t="s">
        <v>1766</v>
      </c>
    </row>
    <row r="166" spans="6:20" x14ac:dyDescent="0.25">
      <c r="F166" t="s">
        <v>1391</v>
      </c>
      <c r="G166" t="b">
        <f>IF(OR(INDEX(IHZ_HAZ_CONSIGNMENT,159,1)="",AND(INDEX(IHZ_HAZ_DPGREF,159,1)&lt;&gt;"",INDEX(IHZ_HAZ_CONSIGNMENT,159,1)=INDEX(IHZ_HAZ_CONSIGNMENT,158,1),INDEX(IHZ_HAZ_DPGREF,159,1)=INDEX(IHZ_HAZ_DPGREF,158,1))),TRUE,AND(INDEX(IHZ_HAZ_DGCLASSIFI,159,1)&lt;&gt;"",INDEX(IHZ_HAZ_TEXTUALREF,159,1)&lt;&gt;"",INDEX(IHZ_HAZ_TOTAMOUNT,159,1)&lt;&gt;""))</f>
        <v>1</v>
      </c>
      <c r="H166" t="str">
        <f t="shared" si="4"/>
        <v>Row 159 - All mandatory fields must be given</v>
      </c>
      <c r="I166" t="s">
        <v>1391</v>
      </c>
      <c r="J166" t="b">
        <f>IF(OR(INDEX(OHZ_HAZ_CONSIGNMENT,159,1)="",AND(INDEX(OHZ_HAZ_DPGREF,159,1)&lt;&gt;"",INDEX(OHZ_HAZ_CONSIGNMENT,159,1)=INDEX(OHZ_HAZ_CONSIGNMENT,158,1),INDEX(OHZ_HAZ_DPGREF,159,1)=INDEX(OHZ_HAZ_DPGREF,158,1))),TRUE,AND(INDEX(OHZ_HAZ_DGCLASSIFI,159,1)&lt;&gt;"",INDEX(OHZ_HAZ_TEXTUALREF,159,1)&lt;&gt;"",INDEX(OHZ_HAZ_TOTAMOUNT,159,1)&lt;&gt;""))</f>
        <v>1</v>
      </c>
      <c r="K166" t="str">
        <f t="shared" si="5"/>
        <v>Row 159 - All mandatory fields must be given</v>
      </c>
      <c r="L166" t="s">
        <v>1391</v>
      </c>
      <c r="T166" t="s">
        <v>1767</v>
      </c>
    </row>
    <row r="167" spans="6:20" x14ac:dyDescent="0.25">
      <c r="F167" t="s">
        <v>1391</v>
      </c>
      <c r="G167" t="b">
        <f>IF(OR(INDEX(IHZ_HAZ_CONSIGNMENT,160,1)="",AND(INDEX(IHZ_HAZ_DPGREF,160,1)&lt;&gt;"",INDEX(IHZ_HAZ_CONSIGNMENT,160,1)=INDEX(IHZ_HAZ_CONSIGNMENT,159,1),INDEX(IHZ_HAZ_DPGREF,160,1)=INDEX(IHZ_HAZ_DPGREF,159,1))),TRUE,AND(INDEX(IHZ_HAZ_DGCLASSIFI,160,1)&lt;&gt;"",INDEX(IHZ_HAZ_TEXTUALREF,160,1)&lt;&gt;"",INDEX(IHZ_HAZ_TOTAMOUNT,160,1)&lt;&gt;""))</f>
        <v>1</v>
      </c>
      <c r="H167" t="str">
        <f t="shared" si="4"/>
        <v>Row 160 - All mandatory fields must be given</v>
      </c>
      <c r="I167" t="s">
        <v>1391</v>
      </c>
      <c r="J167" t="b">
        <f>IF(OR(INDEX(OHZ_HAZ_CONSIGNMENT,160,1)="",AND(INDEX(OHZ_HAZ_DPGREF,160,1)&lt;&gt;"",INDEX(OHZ_HAZ_CONSIGNMENT,160,1)=INDEX(OHZ_HAZ_CONSIGNMENT,159,1),INDEX(OHZ_HAZ_DPGREF,160,1)=INDEX(OHZ_HAZ_DPGREF,159,1))),TRUE,AND(INDEX(OHZ_HAZ_DGCLASSIFI,160,1)&lt;&gt;"",INDEX(OHZ_HAZ_TEXTUALREF,160,1)&lt;&gt;"",INDEX(OHZ_HAZ_TOTAMOUNT,160,1)&lt;&gt;""))</f>
        <v>1</v>
      </c>
      <c r="K167" t="str">
        <f t="shared" si="5"/>
        <v>Row 160 - All mandatory fields must be given</v>
      </c>
      <c r="L167" t="s">
        <v>1391</v>
      </c>
      <c r="T167" t="s">
        <v>1768</v>
      </c>
    </row>
    <row r="168" spans="6:20" x14ac:dyDescent="0.25">
      <c r="F168" t="s">
        <v>1391</v>
      </c>
      <c r="G168" t="b">
        <f>IF(OR(INDEX(IHZ_HAZ_CONSIGNMENT,161,1)="",AND(INDEX(IHZ_HAZ_DPGREF,161,1)&lt;&gt;"",INDEX(IHZ_HAZ_CONSIGNMENT,161,1)=INDEX(IHZ_HAZ_CONSIGNMENT,160,1),INDEX(IHZ_HAZ_DPGREF,161,1)=INDEX(IHZ_HAZ_DPGREF,160,1))),TRUE,AND(INDEX(IHZ_HAZ_DGCLASSIFI,161,1)&lt;&gt;"",INDEX(IHZ_HAZ_TEXTUALREF,161,1)&lt;&gt;"",INDEX(IHZ_HAZ_TOTAMOUNT,161,1)&lt;&gt;""))</f>
        <v>1</v>
      </c>
      <c r="H168" t="str">
        <f t="shared" si="4"/>
        <v>Row 161 - All mandatory fields must be given</v>
      </c>
      <c r="I168" t="s">
        <v>1391</v>
      </c>
      <c r="J168" t="b">
        <f>IF(OR(INDEX(OHZ_HAZ_CONSIGNMENT,161,1)="",AND(INDEX(OHZ_HAZ_DPGREF,161,1)&lt;&gt;"",INDEX(OHZ_HAZ_CONSIGNMENT,161,1)=INDEX(OHZ_HAZ_CONSIGNMENT,160,1),INDEX(OHZ_HAZ_DPGREF,161,1)=INDEX(OHZ_HAZ_DPGREF,160,1))),TRUE,AND(INDEX(OHZ_HAZ_DGCLASSIFI,161,1)&lt;&gt;"",INDEX(OHZ_HAZ_TEXTUALREF,161,1)&lt;&gt;"",INDEX(OHZ_HAZ_TOTAMOUNT,161,1)&lt;&gt;""))</f>
        <v>1</v>
      </c>
      <c r="K168" t="str">
        <f t="shared" si="5"/>
        <v>Row 161 - All mandatory fields must be given</v>
      </c>
      <c r="L168" t="s">
        <v>1391</v>
      </c>
      <c r="T168" t="s">
        <v>1769</v>
      </c>
    </row>
    <row r="169" spans="6:20" x14ac:dyDescent="0.25">
      <c r="F169" t="s">
        <v>1391</v>
      </c>
      <c r="G169" t="b">
        <f>IF(OR(INDEX(IHZ_HAZ_CONSIGNMENT,162,1)="",AND(INDEX(IHZ_HAZ_DPGREF,162,1)&lt;&gt;"",INDEX(IHZ_HAZ_CONSIGNMENT,162,1)=INDEX(IHZ_HAZ_CONSIGNMENT,161,1),INDEX(IHZ_HAZ_DPGREF,162,1)=INDEX(IHZ_HAZ_DPGREF,161,1))),TRUE,AND(INDEX(IHZ_HAZ_DGCLASSIFI,162,1)&lt;&gt;"",INDEX(IHZ_HAZ_TEXTUALREF,162,1)&lt;&gt;"",INDEX(IHZ_HAZ_TOTAMOUNT,162,1)&lt;&gt;""))</f>
        <v>1</v>
      </c>
      <c r="H169" t="str">
        <f t="shared" si="4"/>
        <v>Row 162 - All mandatory fields must be given</v>
      </c>
      <c r="I169" t="s">
        <v>1391</v>
      </c>
      <c r="J169" t="b">
        <f>IF(OR(INDEX(OHZ_HAZ_CONSIGNMENT,162,1)="",AND(INDEX(OHZ_HAZ_DPGREF,162,1)&lt;&gt;"",INDEX(OHZ_HAZ_CONSIGNMENT,162,1)=INDEX(OHZ_HAZ_CONSIGNMENT,161,1),INDEX(OHZ_HAZ_DPGREF,162,1)=INDEX(OHZ_HAZ_DPGREF,161,1))),TRUE,AND(INDEX(OHZ_HAZ_DGCLASSIFI,162,1)&lt;&gt;"",INDEX(OHZ_HAZ_TEXTUALREF,162,1)&lt;&gt;"",INDEX(OHZ_HAZ_TOTAMOUNT,162,1)&lt;&gt;""))</f>
        <v>1</v>
      </c>
      <c r="K169" t="str">
        <f t="shared" si="5"/>
        <v>Row 162 - All mandatory fields must be given</v>
      </c>
      <c r="L169" t="s">
        <v>1391</v>
      </c>
      <c r="T169" t="s">
        <v>1770</v>
      </c>
    </row>
    <row r="170" spans="6:20" x14ac:dyDescent="0.25">
      <c r="F170" t="s">
        <v>1391</v>
      </c>
      <c r="G170" t="b">
        <f>IF(OR(INDEX(IHZ_HAZ_CONSIGNMENT,163,1)="",AND(INDEX(IHZ_HAZ_DPGREF,163,1)&lt;&gt;"",INDEX(IHZ_HAZ_CONSIGNMENT,163,1)=INDEX(IHZ_HAZ_CONSIGNMENT,162,1),INDEX(IHZ_HAZ_DPGREF,163,1)=INDEX(IHZ_HAZ_DPGREF,162,1))),TRUE,AND(INDEX(IHZ_HAZ_DGCLASSIFI,163,1)&lt;&gt;"",INDEX(IHZ_HAZ_TEXTUALREF,163,1)&lt;&gt;"",INDEX(IHZ_HAZ_TOTAMOUNT,163,1)&lt;&gt;""))</f>
        <v>1</v>
      </c>
      <c r="H170" t="str">
        <f t="shared" si="4"/>
        <v>Row 163 - All mandatory fields must be given</v>
      </c>
      <c r="I170" t="s">
        <v>1391</v>
      </c>
      <c r="J170" t="b">
        <f>IF(OR(INDEX(OHZ_HAZ_CONSIGNMENT,163,1)="",AND(INDEX(OHZ_HAZ_DPGREF,163,1)&lt;&gt;"",INDEX(OHZ_HAZ_CONSIGNMENT,163,1)=INDEX(OHZ_HAZ_CONSIGNMENT,162,1),INDEX(OHZ_HAZ_DPGREF,163,1)=INDEX(OHZ_HAZ_DPGREF,162,1))),TRUE,AND(INDEX(OHZ_HAZ_DGCLASSIFI,163,1)&lt;&gt;"",INDEX(OHZ_HAZ_TEXTUALREF,163,1)&lt;&gt;"",INDEX(OHZ_HAZ_TOTAMOUNT,163,1)&lt;&gt;""))</f>
        <v>1</v>
      </c>
      <c r="K170" t="str">
        <f t="shared" si="5"/>
        <v>Row 163 - All mandatory fields must be given</v>
      </c>
      <c r="L170" t="s">
        <v>1391</v>
      </c>
      <c r="T170" t="s">
        <v>1771</v>
      </c>
    </row>
    <row r="171" spans="6:20" x14ac:dyDescent="0.25">
      <c r="F171" t="s">
        <v>1391</v>
      </c>
      <c r="G171" t="b">
        <f>IF(OR(INDEX(IHZ_HAZ_CONSIGNMENT,164,1)="",AND(INDEX(IHZ_HAZ_DPGREF,164,1)&lt;&gt;"",INDEX(IHZ_HAZ_CONSIGNMENT,164,1)=INDEX(IHZ_HAZ_CONSIGNMENT,163,1),INDEX(IHZ_HAZ_DPGREF,164,1)=INDEX(IHZ_HAZ_DPGREF,163,1))),TRUE,AND(INDEX(IHZ_HAZ_DGCLASSIFI,164,1)&lt;&gt;"",INDEX(IHZ_HAZ_TEXTUALREF,164,1)&lt;&gt;"",INDEX(IHZ_HAZ_TOTAMOUNT,164,1)&lt;&gt;""))</f>
        <v>1</v>
      </c>
      <c r="H171" t="str">
        <f t="shared" si="4"/>
        <v>Row 164 - All mandatory fields must be given</v>
      </c>
      <c r="I171" t="s">
        <v>1391</v>
      </c>
      <c r="J171" t="b">
        <f>IF(OR(INDEX(OHZ_HAZ_CONSIGNMENT,164,1)="",AND(INDEX(OHZ_HAZ_DPGREF,164,1)&lt;&gt;"",INDEX(OHZ_HAZ_CONSIGNMENT,164,1)=INDEX(OHZ_HAZ_CONSIGNMENT,163,1),INDEX(OHZ_HAZ_DPGREF,164,1)=INDEX(OHZ_HAZ_DPGREF,163,1))),TRUE,AND(INDEX(OHZ_HAZ_DGCLASSIFI,164,1)&lt;&gt;"",INDEX(OHZ_HAZ_TEXTUALREF,164,1)&lt;&gt;"",INDEX(OHZ_HAZ_TOTAMOUNT,164,1)&lt;&gt;""))</f>
        <v>1</v>
      </c>
      <c r="K171" t="str">
        <f t="shared" si="5"/>
        <v>Row 164 - All mandatory fields must be given</v>
      </c>
      <c r="L171" t="s">
        <v>1391</v>
      </c>
      <c r="T171" t="s">
        <v>1772</v>
      </c>
    </row>
    <row r="172" spans="6:20" x14ac:dyDescent="0.25">
      <c r="F172" t="s">
        <v>1391</v>
      </c>
      <c r="G172" t="b">
        <f>IF(OR(INDEX(IHZ_HAZ_CONSIGNMENT,165,1)="",AND(INDEX(IHZ_HAZ_DPGREF,165,1)&lt;&gt;"",INDEX(IHZ_HAZ_CONSIGNMENT,165,1)=INDEX(IHZ_HAZ_CONSIGNMENT,164,1),INDEX(IHZ_HAZ_DPGREF,165,1)=INDEX(IHZ_HAZ_DPGREF,164,1))),TRUE,AND(INDEX(IHZ_HAZ_DGCLASSIFI,165,1)&lt;&gt;"",INDEX(IHZ_HAZ_TEXTUALREF,165,1)&lt;&gt;"",INDEX(IHZ_HAZ_TOTAMOUNT,165,1)&lt;&gt;""))</f>
        <v>1</v>
      </c>
      <c r="H172" t="str">
        <f t="shared" si="4"/>
        <v>Row 165 - All mandatory fields must be given</v>
      </c>
      <c r="J172" t="b">
        <f>IF(OR(INDEX(OHZ_HAZ_CONSIGNMENT,165,1)="",AND(INDEX(OHZ_HAZ_DPGREF,165,1)&lt;&gt;"",INDEX(OHZ_HAZ_CONSIGNMENT,165,1)=INDEX(OHZ_HAZ_CONSIGNMENT,164,1),INDEX(OHZ_HAZ_DPGREF,165,1)=INDEX(OHZ_HAZ_DPGREF,164,1))),TRUE,AND(INDEX(OHZ_HAZ_DGCLASSIFI,165,1)&lt;&gt;"",INDEX(OHZ_HAZ_TEXTUALREF,165,1)&lt;&gt;"",INDEX(OHZ_HAZ_TOTAMOUNT,165,1)&lt;&gt;""))</f>
        <v>1</v>
      </c>
      <c r="K172" t="str">
        <f t="shared" si="5"/>
        <v>Row 165 - All mandatory fields must be given</v>
      </c>
      <c r="L172" t="s">
        <v>1391</v>
      </c>
      <c r="T172" t="s">
        <v>1773</v>
      </c>
    </row>
    <row r="173" spans="6:20" x14ac:dyDescent="0.25">
      <c r="F173" t="s">
        <v>1391</v>
      </c>
      <c r="G173" t="b">
        <f>IF(OR(INDEX(IHZ_HAZ_CONSIGNMENT,166,1)="",AND(INDEX(IHZ_HAZ_DPGREF,166,1)&lt;&gt;"",INDEX(IHZ_HAZ_CONSIGNMENT,166,1)=INDEX(IHZ_HAZ_CONSIGNMENT,165,1),INDEX(IHZ_HAZ_DPGREF,166,1)=INDEX(IHZ_HAZ_DPGREF,165,1))),TRUE,AND(INDEX(IHZ_HAZ_DGCLASSIFI,166,1)&lt;&gt;"",INDEX(IHZ_HAZ_TEXTUALREF,166,1)&lt;&gt;"",INDEX(IHZ_HAZ_TOTAMOUNT,166,1)&lt;&gt;""))</f>
        <v>1</v>
      </c>
      <c r="H173" t="str">
        <f t="shared" si="4"/>
        <v>Row 166 - All mandatory fields must be given</v>
      </c>
      <c r="J173" t="b">
        <f>IF(OR(INDEX(OHZ_HAZ_CONSIGNMENT,166,1)="",AND(INDEX(OHZ_HAZ_DPGREF,166,1)&lt;&gt;"",INDEX(OHZ_HAZ_CONSIGNMENT,166,1)=INDEX(OHZ_HAZ_CONSIGNMENT,165,1),INDEX(OHZ_HAZ_DPGREF,166,1)=INDEX(OHZ_HAZ_DPGREF,165,1))),TRUE,AND(INDEX(OHZ_HAZ_DGCLASSIFI,166,1)&lt;&gt;"",INDEX(OHZ_HAZ_TEXTUALREF,166,1)&lt;&gt;"",INDEX(OHZ_HAZ_TOTAMOUNT,166,1)&lt;&gt;""))</f>
        <v>1</v>
      </c>
      <c r="K173" t="str">
        <f t="shared" si="5"/>
        <v>Row 166 - All mandatory fields must be given</v>
      </c>
      <c r="L173" t="s">
        <v>1391</v>
      </c>
      <c r="T173" t="s">
        <v>1774</v>
      </c>
    </row>
    <row r="174" spans="6:20" x14ac:dyDescent="0.25">
      <c r="F174" t="s">
        <v>1391</v>
      </c>
      <c r="G174" t="b">
        <f>IF(OR(INDEX(IHZ_HAZ_CONSIGNMENT,167,1)="",AND(INDEX(IHZ_HAZ_DPGREF,167,1)&lt;&gt;"",INDEX(IHZ_HAZ_CONSIGNMENT,167,1)=INDEX(IHZ_HAZ_CONSIGNMENT,166,1),INDEX(IHZ_HAZ_DPGREF,167,1)=INDEX(IHZ_HAZ_DPGREF,166,1))),TRUE,AND(INDEX(IHZ_HAZ_DGCLASSIFI,167,1)&lt;&gt;"",INDEX(IHZ_HAZ_TEXTUALREF,167,1)&lt;&gt;"",INDEX(IHZ_HAZ_TOTAMOUNT,167,1)&lt;&gt;""))</f>
        <v>1</v>
      </c>
      <c r="H174" t="str">
        <f t="shared" si="4"/>
        <v>Row 167 - All mandatory fields must be given</v>
      </c>
      <c r="J174" t="b">
        <f>IF(OR(INDEX(OHZ_HAZ_CONSIGNMENT,167,1)="",AND(INDEX(OHZ_HAZ_DPGREF,167,1)&lt;&gt;"",INDEX(OHZ_HAZ_CONSIGNMENT,167,1)=INDEX(OHZ_HAZ_CONSIGNMENT,166,1),INDEX(OHZ_HAZ_DPGREF,167,1)=INDEX(OHZ_HAZ_DPGREF,166,1))),TRUE,AND(INDEX(OHZ_HAZ_DGCLASSIFI,167,1)&lt;&gt;"",INDEX(OHZ_HAZ_TEXTUALREF,167,1)&lt;&gt;"",INDEX(OHZ_HAZ_TOTAMOUNT,167,1)&lt;&gt;""))</f>
        <v>1</v>
      </c>
      <c r="K174" t="str">
        <f t="shared" si="5"/>
        <v>Row 167 - All mandatory fields must be given</v>
      </c>
      <c r="L174" t="s">
        <v>1391</v>
      </c>
      <c r="T174" t="s">
        <v>1775</v>
      </c>
    </row>
    <row r="175" spans="6:20" x14ac:dyDescent="0.25">
      <c r="F175" t="s">
        <v>1391</v>
      </c>
      <c r="G175" t="b">
        <f>IF(OR(INDEX(IHZ_HAZ_CONSIGNMENT,168,1)="",AND(INDEX(IHZ_HAZ_DPGREF,168,1)&lt;&gt;"",INDEX(IHZ_HAZ_CONSIGNMENT,168,1)=INDEX(IHZ_HAZ_CONSIGNMENT,167,1),INDEX(IHZ_HAZ_DPGREF,168,1)=INDEX(IHZ_HAZ_DPGREF,167,1))),TRUE,AND(INDEX(IHZ_HAZ_DGCLASSIFI,168,1)&lt;&gt;"",INDEX(IHZ_HAZ_TEXTUALREF,168,1)&lt;&gt;"",INDEX(IHZ_HAZ_TOTAMOUNT,168,1)&lt;&gt;""))</f>
        <v>1</v>
      </c>
      <c r="H175" t="str">
        <f t="shared" si="4"/>
        <v>Row 168 - All mandatory fields must be given</v>
      </c>
      <c r="J175" t="b">
        <f>IF(OR(INDEX(OHZ_HAZ_CONSIGNMENT,168,1)="",AND(INDEX(OHZ_HAZ_DPGREF,168,1)&lt;&gt;"",INDEX(OHZ_HAZ_CONSIGNMENT,168,1)=INDEX(OHZ_HAZ_CONSIGNMENT,167,1),INDEX(OHZ_HAZ_DPGREF,168,1)=INDEX(OHZ_HAZ_DPGREF,167,1))),TRUE,AND(INDEX(OHZ_HAZ_DGCLASSIFI,168,1)&lt;&gt;"",INDEX(OHZ_HAZ_TEXTUALREF,168,1)&lt;&gt;"",INDEX(OHZ_HAZ_TOTAMOUNT,168,1)&lt;&gt;""))</f>
        <v>1</v>
      </c>
      <c r="K175" t="str">
        <f t="shared" si="5"/>
        <v>Row 168 - All mandatory fields must be given</v>
      </c>
      <c r="L175" t="s">
        <v>1391</v>
      </c>
      <c r="T175" t="s">
        <v>1776</v>
      </c>
    </row>
    <row r="176" spans="6:20" x14ac:dyDescent="0.25">
      <c r="F176" t="s">
        <v>1391</v>
      </c>
      <c r="G176" t="b">
        <f>IF(OR(INDEX(IHZ_HAZ_CONSIGNMENT,169,1)="",AND(INDEX(IHZ_HAZ_DPGREF,169,1)&lt;&gt;"",INDEX(IHZ_HAZ_CONSIGNMENT,169,1)=INDEX(IHZ_HAZ_CONSIGNMENT,168,1),INDEX(IHZ_HAZ_DPGREF,169,1)=INDEX(IHZ_HAZ_DPGREF,168,1))),TRUE,AND(INDEX(IHZ_HAZ_DGCLASSIFI,169,1)&lt;&gt;"",INDEX(IHZ_HAZ_TEXTUALREF,169,1)&lt;&gt;"",INDEX(IHZ_HAZ_TOTAMOUNT,169,1)&lt;&gt;""))</f>
        <v>1</v>
      </c>
      <c r="H176" t="str">
        <f t="shared" si="4"/>
        <v>Row 169 - All mandatory fields must be given</v>
      </c>
      <c r="J176" t="b">
        <f>IF(OR(INDEX(OHZ_HAZ_CONSIGNMENT,169,1)="",AND(INDEX(OHZ_HAZ_DPGREF,169,1)&lt;&gt;"",INDEX(OHZ_HAZ_CONSIGNMENT,169,1)=INDEX(OHZ_HAZ_CONSIGNMENT,168,1),INDEX(OHZ_HAZ_DPGREF,169,1)=INDEX(OHZ_HAZ_DPGREF,168,1))),TRUE,AND(INDEX(OHZ_HAZ_DGCLASSIFI,169,1)&lt;&gt;"",INDEX(OHZ_HAZ_TEXTUALREF,169,1)&lt;&gt;"",INDEX(OHZ_HAZ_TOTAMOUNT,169,1)&lt;&gt;""))</f>
        <v>1</v>
      </c>
      <c r="K176" t="str">
        <f t="shared" si="5"/>
        <v>Row 169 - All mandatory fields must be given</v>
      </c>
      <c r="L176" t="s">
        <v>1391</v>
      </c>
      <c r="T176" t="s">
        <v>1777</v>
      </c>
    </row>
    <row r="177" spans="6:20" x14ac:dyDescent="0.25">
      <c r="F177" t="s">
        <v>1391</v>
      </c>
      <c r="G177" t="b">
        <f>IF(OR(INDEX(IHZ_HAZ_CONSIGNMENT,170,1)="",AND(INDEX(IHZ_HAZ_DPGREF,170,1)&lt;&gt;"",INDEX(IHZ_HAZ_CONSIGNMENT,170,1)=INDEX(IHZ_HAZ_CONSIGNMENT,169,1),INDEX(IHZ_HAZ_DPGREF,170,1)=INDEX(IHZ_HAZ_DPGREF,169,1))),TRUE,AND(INDEX(IHZ_HAZ_DGCLASSIFI,170,1)&lt;&gt;"",INDEX(IHZ_HAZ_TEXTUALREF,170,1)&lt;&gt;"",INDEX(IHZ_HAZ_TOTAMOUNT,170,1)&lt;&gt;""))</f>
        <v>1</v>
      </c>
      <c r="H177" t="str">
        <f t="shared" si="4"/>
        <v>Row 170 - All mandatory fields must be given</v>
      </c>
      <c r="J177" t="b">
        <f>IF(OR(INDEX(OHZ_HAZ_CONSIGNMENT,170,1)="",AND(INDEX(OHZ_HAZ_DPGREF,170,1)&lt;&gt;"",INDEX(OHZ_HAZ_CONSIGNMENT,170,1)=INDEX(OHZ_HAZ_CONSIGNMENT,169,1),INDEX(OHZ_HAZ_DPGREF,170,1)=INDEX(OHZ_HAZ_DPGREF,169,1))),TRUE,AND(INDEX(OHZ_HAZ_DGCLASSIFI,170,1)&lt;&gt;"",INDEX(OHZ_HAZ_TEXTUALREF,170,1)&lt;&gt;"",INDEX(OHZ_HAZ_TOTAMOUNT,170,1)&lt;&gt;""))</f>
        <v>1</v>
      </c>
      <c r="K177" t="str">
        <f t="shared" si="5"/>
        <v>Row 170 - All mandatory fields must be given</v>
      </c>
      <c r="L177" t="s">
        <v>1391</v>
      </c>
      <c r="T177" t="s">
        <v>1778</v>
      </c>
    </row>
    <row r="178" spans="6:20" x14ac:dyDescent="0.25">
      <c r="F178" t="s">
        <v>1391</v>
      </c>
      <c r="G178" t="b">
        <f>IF(OR(INDEX(IHZ_HAZ_CONSIGNMENT,171,1)="",AND(INDEX(IHZ_HAZ_DPGREF,171,1)&lt;&gt;"",INDEX(IHZ_HAZ_CONSIGNMENT,171,1)=INDEX(IHZ_HAZ_CONSIGNMENT,170,1),INDEX(IHZ_HAZ_DPGREF,171,1)=INDEX(IHZ_HAZ_DPGREF,170,1))),TRUE,AND(INDEX(IHZ_HAZ_DGCLASSIFI,171,1)&lt;&gt;"",INDEX(IHZ_HAZ_TEXTUALREF,171,1)&lt;&gt;"",INDEX(IHZ_HAZ_TOTAMOUNT,171,1)&lt;&gt;""))</f>
        <v>1</v>
      </c>
      <c r="H178" t="str">
        <f t="shared" si="4"/>
        <v>Row 171 - All mandatory fields must be given</v>
      </c>
      <c r="J178" t="b">
        <f>IF(OR(INDEX(OHZ_HAZ_CONSIGNMENT,171,1)="",AND(INDEX(OHZ_HAZ_DPGREF,171,1)&lt;&gt;"",INDEX(OHZ_HAZ_CONSIGNMENT,171,1)=INDEX(OHZ_HAZ_CONSIGNMENT,170,1),INDEX(OHZ_HAZ_DPGREF,171,1)=INDEX(OHZ_HAZ_DPGREF,170,1))),TRUE,AND(INDEX(OHZ_HAZ_DGCLASSIFI,171,1)&lt;&gt;"",INDEX(OHZ_HAZ_TEXTUALREF,171,1)&lt;&gt;"",INDEX(OHZ_HAZ_TOTAMOUNT,171,1)&lt;&gt;""))</f>
        <v>1</v>
      </c>
      <c r="K178" t="str">
        <f t="shared" si="5"/>
        <v>Row 171 - All mandatory fields must be given</v>
      </c>
      <c r="L178" t="s">
        <v>1391</v>
      </c>
      <c r="T178" t="s">
        <v>1779</v>
      </c>
    </row>
    <row r="179" spans="6:20" x14ac:dyDescent="0.25">
      <c r="F179" t="s">
        <v>1391</v>
      </c>
      <c r="G179" t="b">
        <f>IF(OR(INDEX(IHZ_HAZ_CONSIGNMENT,172,1)="",AND(INDEX(IHZ_HAZ_DPGREF,172,1)&lt;&gt;"",INDEX(IHZ_HAZ_CONSIGNMENT,172,1)=INDEX(IHZ_HAZ_CONSIGNMENT,171,1),INDEX(IHZ_HAZ_DPGREF,172,1)=INDEX(IHZ_HAZ_DPGREF,171,1))),TRUE,AND(INDEX(IHZ_HAZ_DGCLASSIFI,172,1)&lt;&gt;"",INDEX(IHZ_HAZ_TEXTUALREF,172,1)&lt;&gt;"",INDEX(IHZ_HAZ_TOTAMOUNT,172,1)&lt;&gt;""))</f>
        <v>1</v>
      </c>
      <c r="H179" t="str">
        <f t="shared" si="4"/>
        <v>Row 172 - All mandatory fields must be given</v>
      </c>
      <c r="J179" t="b">
        <f>IF(OR(INDEX(OHZ_HAZ_CONSIGNMENT,172,1)="",AND(INDEX(OHZ_HAZ_DPGREF,172,1)&lt;&gt;"",INDEX(OHZ_HAZ_CONSIGNMENT,172,1)=INDEX(OHZ_HAZ_CONSIGNMENT,171,1),INDEX(OHZ_HAZ_DPGREF,172,1)=INDEX(OHZ_HAZ_DPGREF,171,1))),TRUE,AND(INDEX(OHZ_HAZ_DGCLASSIFI,172,1)&lt;&gt;"",INDEX(OHZ_HAZ_TEXTUALREF,172,1)&lt;&gt;"",INDEX(OHZ_HAZ_TOTAMOUNT,172,1)&lt;&gt;""))</f>
        <v>1</v>
      </c>
      <c r="K179" t="str">
        <f t="shared" si="5"/>
        <v>Row 172 - All mandatory fields must be given</v>
      </c>
      <c r="L179" t="s">
        <v>1391</v>
      </c>
      <c r="T179" t="s">
        <v>1780</v>
      </c>
    </row>
    <row r="180" spans="6:20" x14ac:dyDescent="0.25">
      <c r="F180" t="s">
        <v>1391</v>
      </c>
      <c r="G180" t="b">
        <f>IF(OR(INDEX(IHZ_HAZ_CONSIGNMENT,173,1)="",AND(INDEX(IHZ_HAZ_DPGREF,173,1)&lt;&gt;"",INDEX(IHZ_HAZ_CONSIGNMENT,173,1)=INDEX(IHZ_HAZ_CONSIGNMENT,172,1),INDEX(IHZ_HAZ_DPGREF,173,1)=INDEX(IHZ_HAZ_DPGREF,172,1))),TRUE,AND(INDEX(IHZ_HAZ_DGCLASSIFI,173,1)&lt;&gt;"",INDEX(IHZ_HAZ_TEXTUALREF,173,1)&lt;&gt;"",INDEX(IHZ_HAZ_TOTAMOUNT,173,1)&lt;&gt;""))</f>
        <v>1</v>
      </c>
      <c r="H180" t="str">
        <f t="shared" si="4"/>
        <v>Row 173 - All mandatory fields must be given</v>
      </c>
      <c r="J180" t="b">
        <f>IF(OR(INDEX(OHZ_HAZ_CONSIGNMENT,173,1)="",AND(INDEX(OHZ_HAZ_DPGREF,173,1)&lt;&gt;"",INDEX(OHZ_HAZ_CONSIGNMENT,173,1)=INDEX(OHZ_HAZ_CONSIGNMENT,172,1),INDEX(OHZ_HAZ_DPGREF,173,1)=INDEX(OHZ_HAZ_DPGREF,172,1))),TRUE,AND(INDEX(OHZ_HAZ_DGCLASSIFI,173,1)&lt;&gt;"",INDEX(OHZ_HAZ_TEXTUALREF,173,1)&lt;&gt;"",INDEX(OHZ_HAZ_TOTAMOUNT,173,1)&lt;&gt;""))</f>
        <v>1</v>
      </c>
      <c r="K180" t="str">
        <f t="shared" si="5"/>
        <v>Row 173 - All mandatory fields must be given</v>
      </c>
      <c r="L180" t="s">
        <v>1391</v>
      </c>
      <c r="T180" t="s">
        <v>1781</v>
      </c>
    </row>
    <row r="181" spans="6:20" x14ac:dyDescent="0.25">
      <c r="F181" t="s">
        <v>1391</v>
      </c>
      <c r="G181" t="b">
        <f>IF(OR(INDEX(IHZ_HAZ_CONSIGNMENT,174,1)="",AND(INDEX(IHZ_HAZ_DPGREF,174,1)&lt;&gt;"",INDEX(IHZ_HAZ_CONSIGNMENT,174,1)=INDEX(IHZ_HAZ_CONSIGNMENT,173,1),INDEX(IHZ_HAZ_DPGREF,174,1)=INDEX(IHZ_HAZ_DPGREF,173,1))),TRUE,AND(INDEX(IHZ_HAZ_DGCLASSIFI,174,1)&lt;&gt;"",INDEX(IHZ_HAZ_TEXTUALREF,174,1)&lt;&gt;"",INDEX(IHZ_HAZ_TOTAMOUNT,174,1)&lt;&gt;""))</f>
        <v>1</v>
      </c>
      <c r="H181" t="str">
        <f t="shared" si="4"/>
        <v>Row 174 - All mandatory fields must be given</v>
      </c>
      <c r="J181" t="b">
        <f>IF(OR(INDEX(OHZ_HAZ_CONSIGNMENT,174,1)="",AND(INDEX(OHZ_HAZ_DPGREF,174,1)&lt;&gt;"",INDEX(OHZ_HAZ_CONSIGNMENT,174,1)=INDEX(OHZ_HAZ_CONSIGNMENT,173,1),INDEX(OHZ_HAZ_DPGREF,174,1)=INDEX(OHZ_HAZ_DPGREF,173,1))),TRUE,AND(INDEX(OHZ_HAZ_DGCLASSIFI,174,1)&lt;&gt;"",INDEX(OHZ_HAZ_TEXTUALREF,174,1)&lt;&gt;"",INDEX(OHZ_HAZ_TOTAMOUNT,174,1)&lt;&gt;""))</f>
        <v>1</v>
      </c>
      <c r="K181" t="str">
        <f t="shared" si="5"/>
        <v>Row 174 - All mandatory fields must be given</v>
      </c>
      <c r="L181" t="s">
        <v>1391</v>
      </c>
      <c r="T181" t="s">
        <v>1782</v>
      </c>
    </row>
    <row r="182" spans="6:20" x14ac:dyDescent="0.25">
      <c r="F182" t="s">
        <v>1391</v>
      </c>
      <c r="G182" t="b">
        <f>IF(OR(INDEX(IHZ_HAZ_CONSIGNMENT,175,1)="",AND(INDEX(IHZ_HAZ_DPGREF,175,1)&lt;&gt;"",INDEX(IHZ_HAZ_CONSIGNMENT,175,1)=INDEX(IHZ_HAZ_CONSIGNMENT,174,1),INDEX(IHZ_HAZ_DPGREF,175,1)=INDEX(IHZ_HAZ_DPGREF,174,1))),TRUE,AND(INDEX(IHZ_HAZ_DGCLASSIFI,175,1)&lt;&gt;"",INDEX(IHZ_HAZ_TEXTUALREF,175,1)&lt;&gt;"",INDEX(IHZ_HAZ_TOTAMOUNT,175,1)&lt;&gt;""))</f>
        <v>1</v>
      </c>
      <c r="H182" t="str">
        <f t="shared" si="4"/>
        <v>Row 175 - All mandatory fields must be given</v>
      </c>
      <c r="J182" t="b">
        <f>IF(OR(INDEX(OHZ_HAZ_CONSIGNMENT,175,1)="",AND(INDEX(OHZ_HAZ_DPGREF,175,1)&lt;&gt;"",INDEX(OHZ_HAZ_CONSIGNMENT,175,1)=INDEX(OHZ_HAZ_CONSIGNMENT,174,1),INDEX(OHZ_HAZ_DPGREF,175,1)=INDEX(OHZ_HAZ_DPGREF,174,1))),TRUE,AND(INDEX(OHZ_HAZ_DGCLASSIFI,175,1)&lt;&gt;"",INDEX(OHZ_HAZ_TEXTUALREF,175,1)&lt;&gt;"",INDEX(OHZ_HAZ_TOTAMOUNT,175,1)&lt;&gt;""))</f>
        <v>1</v>
      </c>
      <c r="K182" t="str">
        <f t="shared" si="5"/>
        <v>Row 175 - All mandatory fields must be given</v>
      </c>
      <c r="L182" t="s">
        <v>1391</v>
      </c>
      <c r="T182" t="s">
        <v>1783</v>
      </c>
    </row>
    <row r="183" spans="6:20" x14ac:dyDescent="0.25">
      <c r="F183" t="s">
        <v>1391</v>
      </c>
      <c r="G183" t="b">
        <f>IF(OR(INDEX(IHZ_HAZ_CONSIGNMENT,176,1)="",AND(INDEX(IHZ_HAZ_DPGREF,176,1)&lt;&gt;"",INDEX(IHZ_HAZ_CONSIGNMENT,176,1)=INDEX(IHZ_HAZ_CONSIGNMENT,175,1),INDEX(IHZ_HAZ_DPGREF,176,1)=INDEX(IHZ_HAZ_DPGREF,175,1))),TRUE,AND(INDEX(IHZ_HAZ_DGCLASSIFI,176,1)&lt;&gt;"",INDEX(IHZ_HAZ_TEXTUALREF,176,1)&lt;&gt;"",INDEX(IHZ_HAZ_TOTAMOUNT,176,1)&lt;&gt;""))</f>
        <v>1</v>
      </c>
      <c r="H183" t="str">
        <f t="shared" si="4"/>
        <v>Row 176 - All mandatory fields must be given</v>
      </c>
      <c r="J183" t="b">
        <f>IF(OR(INDEX(OHZ_HAZ_CONSIGNMENT,176,1)="",AND(INDEX(OHZ_HAZ_DPGREF,176,1)&lt;&gt;"",INDEX(OHZ_HAZ_CONSIGNMENT,176,1)=INDEX(OHZ_HAZ_CONSIGNMENT,175,1),INDEX(OHZ_HAZ_DPGREF,176,1)=INDEX(OHZ_HAZ_DPGREF,175,1))),TRUE,AND(INDEX(OHZ_HAZ_DGCLASSIFI,176,1)&lt;&gt;"",INDEX(OHZ_HAZ_TEXTUALREF,176,1)&lt;&gt;"",INDEX(OHZ_HAZ_TOTAMOUNT,176,1)&lt;&gt;""))</f>
        <v>1</v>
      </c>
      <c r="K183" t="str">
        <f t="shared" si="5"/>
        <v>Row 176 - All mandatory fields must be given</v>
      </c>
      <c r="L183" t="s">
        <v>1391</v>
      </c>
      <c r="T183" t="s">
        <v>1784</v>
      </c>
    </row>
    <row r="184" spans="6:20" x14ac:dyDescent="0.25">
      <c r="F184" t="s">
        <v>1391</v>
      </c>
      <c r="G184" t="b">
        <f>IF(OR(INDEX(IHZ_HAZ_CONSIGNMENT,177,1)="",AND(INDEX(IHZ_HAZ_DPGREF,177,1)&lt;&gt;"",INDEX(IHZ_HAZ_CONSIGNMENT,177,1)=INDEX(IHZ_HAZ_CONSIGNMENT,176,1),INDEX(IHZ_HAZ_DPGREF,177,1)=INDEX(IHZ_HAZ_DPGREF,176,1))),TRUE,AND(INDEX(IHZ_HAZ_DGCLASSIFI,177,1)&lt;&gt;"",INDEX(IHZ_HAZ_TEXTUALREF,177,1)&lt;&gt;"",INDEX(IHZ_HAZ_TOTAMOUNT,177,1)&lt;&gt;""))</f>
        <v>1</v>
      </c>
      <c r="H184" t="str">
        <f t="shared" si="4"/>
        <v>Row 177 - All mandatory fields must be given</v>
      </c>
      <c r="J184" t="b">
        <f>IF(OR(INDEX(OHZ_HAZ_CONSIGNMENT,177,1)="",AND(INDEX(OHZ_HAZ_DPGREF,177,1)&lt;&gt;"",INDEX(OHZ_HAZ_CONSIGNMENT,177,1)=INDEX(OHZ_HAZ_CONSIGNMENT,176,1),INDEX(OHZ_HAZ_DPGREF,177,1)=INDEX(OHZ_HAZ_DPGREF,176,1))),TRUE,AND(INDEX(OHZ_HAZ_DGCLASSIFI,177,1)&lt;&gt;"",INDEX(OHZ_HAZ_TEXTUALREF,177,1)&lt;&gt;"",INDEX(OHZ_HAZ_TOTAMOUNT,177,1)&lt;&gt;""))</f>
        <v>1</v>
      </c>
      <c r="K184" t="str">
        <f t="shared" si="5"/>
        <v>Row 177 - All mandatory fields must be given</v>
      </c>
      <c r="L184" t="s">
        <v>1391</v>
      </c>
      <c r="T184" t="s">
        <v>1785</v>
      </c>
    </row>
    <row r="185" spans="6:20" x14ac:dyDescent="0.25">
      <c r="F185" t="s">
        <v>1391</v>
      </c>
      <c r="G185" t="b">
        <f>IF(OR(INDEX(IHZ_HAZ_CONSIGNMENT,178,1)="",AND(INDEX(IHZ_HAZ_DPGREF,178,1)&lt;&gt;"",INDEX(IHZ_HAZ_CONSIGNMENT,178,1)=INDEX(IHZ_HAZ_CONSIGNMENT,177,1),INDEX(IHZ_HAZ_DPGREF,178,1)=INDEX(IHZ_HAZ_DPGREF,177,1))),TRUE,AND(INDEX(IHZ_HAZ_DGCLASSIFI,178,1)&lt;&gt;"",INDEX(IHZ_HAZ_TEXTUALREF,178,1)&lt;&gt;"",INDEX(IHZ_HAZ_TOTAMOUNT,178,1)&lt;&gt;""))</f>
        <v>1</v>
      </c>
      <c r="H185" t="str">
        <f t="shared" si="4"/>
        <v>Row 178 - All mandatory fields must be given</v>
      </c>
      <c r="J185" t="b">
        <f>IF(OR(INDEX(OHZ_HAZ_CONSIGNMENT,178,1)="",AND(INDEX(OHZ_HAZ_DPGREF,178,1)&lt;&gt;"",INDEX(OHZ_HAZ_CONSIGNMENT,178,1)=INDEX(OHZ_HAZ_CONSIGNMENT,177,1),INDEX(OHZ_HAZ_DPGREF,178,1)=INDEX(OHZ_HAZ_DPGREF,177,1))),TRUE,AND(INDEX(OHZ_HAZ_DGCLASSIFI,178,1)&lt;&gt;"",INDEX(OHZ_HAZ_TEXTUALREF,178,1)&lt;&gt;"",INDEX(OHZ_HAZ_TOTAMOUNT,178,1)&lt;&gt;""))</f>
        <v>1</v>
      </c>
      <c r="K185" t="str">
        <f t="shared" si="5"/>
        <v>Row 178 - All mandatory fields must be given</v>
      </c>
      <c r="L185" t="s">
        <v>1391</v>
      </c>
      <c r="T185" t="s">
        <v>1786</v>
      </c>
    </row>
    <row r="186" spans="6:20" x14ac:dyDescent="0.25">
      <c r="F186" t="s">
        <v>1391</v>
      </c>
      <c r="G186" t="b">
        <f>IF(OR(INDEX(IHZ_HAZ_CONSIGNMENT,179,1)="",AND(INDEX(IHZ_HAZ_DPGREF,179,1)&lt;&gt;"",INDEX(IHZ_HAZ_CONSIGNMENT,179,1)=INDEX(IHZ_HAZ_CONSIGNMENT,178,1),INDEX(IHZ_HAZ_DPGREF,179,1)=INDEX(IHZ_HAZ_DPGREF,178,1))),TRUE,AND(INDEX(IHZ_HAZ_DGCLASSIFI,179,1)&lt;&gt;"",INDEX(IHZ_HAZ_TEXTUALREF,179,1)&lt;&gt;"",INDEX(IHZ_HAZ_TOTAMOUNT,179,1)&lt;&gt;""))</f>
        <v>1</v>
      </c>
      <c r="H186" t="str">
        <f t="shared" si="4"/>
        <v>Row 179 - All mandatory fields must be given</v>
      </c>
      <c r="J186" t="b">
        <f>IF(OR(INDEX(OHZ_HAZ_CONSIGNMENT,179,1)="",AND(INDEX(OHZ_HAZ_DPGREF,179,1)&lt;&gt;"",INDEX(OHZ_HAZ_CONSIGNMENT,179,1)=INDEX(OHZ_HAZ_CONSIGNMENT,178,1),INDEX(OHZ_HAZ_DPGREF,179,1)=INDEX(OHZ_HAZ_DPGREF,178,1))),TRUE,AND(INDEX(OHZ_HAZ_DGCLASSIFI,179,1)&lt;&gt;"",INDEX(OHZ_HAZ_TEXTUALREF,179,1)&lt;&gt;"",INDEX(OHZ_HAZ_TOTAMOUNT,179,1)&lt;&gt;""))</f>
        <v>1</v>
      </c>
      <c r="K186" t="str">
        <f t="shared" si="5"/>
        <v>Row 179 - All mandatory fields must be given</v>
      </c>
      <c r="L186" t="s">
        <v>1391</v>
      </c>
      <c r="T186" t="s">
        <v>1787</v>
      </c>
    </row>
    <row r="187" spans="6:20" x14ac:dyDescent="0.25">
      <c r="F187" t="s">
        <v>1391</v>
      </c>
      <c r="G187" t="b">
        <f>IF(OR(INDEX(IHZ_HAZ_CONSIGNMENT,180,1)="",AND(INDEX(IHZ_HAZ_DPGREF,180,1)&lt;&gt;"",INDEX(IHZ_HAZ_CONSIGNMENT,180,1)=INDEX(IHZ_HAZ_CONSIGNMENT,179,1),INDEX(IHZ_HAZ_DPGREF,180,1)=INDEX(IHZ_HAZ_DPGREF,179,1))),TRUE,AND(INDEX(IHZ_HAZ_DGCLASSIFI,180,1)&lt;&gt;"",INDEX(IHZ_HAZ_TEXTUALREF,180,1)&lt;&gt;"",INDEX(IHZ_HAZ_TOTAMOUNT,180,1)&lt;&gt;""))</f>
        <v>1</v>
      </c>
      <c r="H187" t="str">
        <f t="shared" si="4"/>
        <v>Row 180 - All mandatory fields must be given</v>
      </c>
      <c r="J187" t="b">
        <f>IF(OR(INDEX(OHZ_HAZ_CONSIGNMENT,180,1)="",AND(INDEX(OHZ_HAZ_DPGREF,180,1)&lt;&gt;"",INDEX(OHZ_HAZ_CONSIGNMENT,180,1)=INDEX(OHZ_HAZ_CONSIGNMENT,179,1),INDEX(OHZ_HAZ_DPGREF,180,1)=INDEX(OHZ_HAZ_DPGREF,179,1))),TRUE,AND(INDEX(OHZ_HAZ_DGCLASSIFI,180,1)&lt;&gt;"",INDEX(OHZ_HAZ_TEXTUALREF,180,1)&lt;&gt;"",INDEX(OHZ_HAZ_TOTAMOUNT,180,1)&lt;&gt;""))</f>
        <v>1</v>
      </c>
      <c r="K187" t="str">
        <f t="shared" si="5"/>
        <v>Row 180 - All mandatory fields must be given</v>
      </c>
      <c r="L187" t="s">
        <v>1391</v>
      </c>
      <c r="T187" t="s">
        <v>1788</v>
      </c>
    </row>
    <row r="188" spans="6:20" x14ac:dyDescent="0.25">
      <c r="F188" t="s">
        <v>1391</v>
      </c>
      <c r="G188" t="b">
        <f>IF(OR(INDEX(IHZ_HAZ_CONSIGNMENT,181,1)="",AND(INDEX(IHZ_HAZ_DPGREF,181,1)&lt;&gt;"",INDEX(IHZ_HAZ_CONSIGNMENT,181,1)=INDEX(IHZ_HAZ_CONSIGNMENT,180,1),INDEX(IHZ_HAZ_DPGREF,181,1)=INDEX(IHZ_HAZ_DPGREF,180,1))),TRUE,AND(INDEX(IHZ_HAZ_DGCLASSIFI,181,1)&lt;&gt;"",INDEX(IHZ_HAZ_TEXTUALREF,181,1)&lt;&gt;"",INDEX(IHZ_HAZ_TOTAMOUNT,181,1)&lt;&gt;""))</f>
        <v>1</v>
      </c>
      <c r="H188" t="str">
        <f t="shared" si="4"/>
        <v>Row 181 - All mandatory fields must be given</v>
      </c>
      <c r="J188" t="b">
        <f>IF(OR(INDEX(OHZ_HAZ_CONSIGNMENT,181,1)="",AND(INDEX(OHZ_HAZ_DPGREF,181,1)&lt;&gt;"",INDEX(OHZ_HAZ_CONSIGNMENT,181,1)=INDEX(OHZ_HAZ_CONSIGNMENT,180,1),INDEX(OHZ_HAZ_DPGREF,181,1)=INDEX(OHZ_HAZ_DPGREF,180,1))),TRUE,AND(INDEX(OHZ_HAZ_DGCLASSIFI,181,1)&lt;&gt;"",INDEX(OHZ_HAZ_TEXTUALREF,181,1)&lt;&gt;"",INDEX(OHZ_HAZ_TOTAMOUNT,181,1)&lt;&gt;""))</f>
        <v>1</v>
      </c>
      <c r="K188" t="str">
        <f t="shared" si="5"/>
        <v>Row 181 - All mandatory fields must be given</v>
      </c>
      <c r="L188" t="s">
        <v>1391</v>
      </c>
      <c r="T188" t="s">
        <v>1789</v>
      </c>
    </row>
    <row r="189" spans="6:20" x14ac:dyDescent="0.25">
      <c r="F189" t="s">
        <v>1391</v>
      </c>
      <c r="G189" t="b">
        <f>IF(OR(INDEX(IHZ_HAZ_CONSIGNMENT,182,1)="",AND(INDEX(IHZ_HAZ_DPGREF,182,1)&lt;&gt;"",INDEX(IHZ_HAZ_CONSIGNMENT,182,1)=INDEX(IHZ_HAZ_CONSIGNMENT,181,1),INDEX(IHZ_HAZ_DPGREF,182,1)=INDEX(IHZ_HAZ_DPGREF,181,1))),TRUE,AND(INDEX(IHZ_HAZ_DGCLASSIFI,182,1)&lt;&gt;"",INDEX(IHZ_HAZ_TEXTUALREF,182,1)&lt;&gt;"",INDEX(IHZ_HAZ_TOTAMOUNT,182,1)&lt;&gt;""))</f>
        <v>1</v>
      </c>
      <c r="H189" t="str">
        <f t="shared" si="4"/>
        <v>Row 182 - All mandatory fields must be given</v>
      </c>
      <c r="J189" t="b">
        <f>IF(OR(INDEX(OHZ_HAZ_CONSIGNMENT,182,1)="",AND(INDEX(OHZ_HAZ_DPGREF,182,1)&lt;&gt;"",INDEX(OHZ_HAZ_CONSIGNMENT,182,1)=INDEX(OHZ_HAZ_CONSIGNMENT,181,1),INDEX(OHZ_HAZ_DPGREF,182,1)=INDEX(OHZ_HAZ_DPGREF,181,1))),TRUE,AND(INDEX(OHZ_HAZ_DGCLASSIFI,182,1)&lt;&gt;"",INDEX(OHZ_HAZ_TEXTUALREF,182,1)&lt;&gt;"",INDEX(OHZ_HAZ_TOTAMOUNT,182,1)&lt;&gt;""))</f>
        <v>1</v>
      </c>
      <c r="K189" t="str">
        <f t="shared" si="5"/>
        <v>Row 182 - All mandatory fields must be given</v>
      </c>
      <c r="L189" t="s">
        <v>1391</v>
      </c>
      <c r="T189" t="s">
        <v>1790</v>
      </c>
    </row>
    <row r="190" spans="6:20" x14ac:dyDescent="0.25">
      <c r="F190" t="s">
        <v>1391</v>
      </c>
      <c r="G190" t="b">
        <f>IF(OR(INDEX(IHZ_HAZ_CONSIGNMENT,183,1)="",AND(INDEX(IHZ_HAZ_DPGREF,183,1)&lt;&gt;"",INDEX(IHZ_HAZ_CONSIGNMENT,183,1)=INDEX(IHZ_HAZ_CONSIGNMENT,182,1),INDEX(IHZ_HAZ_DPGREF,183,1)=INDEX(IHZ_HAZ_DPGREF,182,1))),TRUE,AND(INDEX(IHZ_HAZ_DGCLASSIFI,183,1)&lt;&gt;"",INDEX(IHZ_HAZ_TEXTUALREF,183,1)&lt;&gt;"",INDEX(IHZ_HAZ_TOTAMOUNT,183,1)&lt;&gt;""))</f>
        <v>1</v>
      </c>
      <c r="H190" t="str">
        <f t="shared" si="4"/>
        <v>Row 183 - All mandatory fields must be given</v>
      </c>
      <c r="J190" t="b">
        <f>IF(OR(INDEX(OHZ_HAZ_CONSIGNMENT,183,1)="",AND(INDEX(OHZ_HAZ_DPGREF,183,1)&lt;&gt;"",INDEX(OHZ_HAZ_CONSIGNMENT,183,1)=INDEX(OHZ_HAZ_CONSIGNMENT,182,1),INDEX(OHZ_HAZ_DPGREF,183,1)=INDEX(OHZ_HAZ_DPGREF,182,1))),TRUE,AND(INDEX(OHZ_HAZ_DGCLASSIFI,183,1)&lt;&gt;"",INDEX(OHZ_HAZ_TEXTUALREF,183,1)&lt;&gt;"",INDEX(OHZ_HAZ_TOTAMOUNT,183,1)&lt;&gt;""))</f>
        <v>1</v>
      </c>
      <c r="K190" t="str">
        <f t="shared" si="5"/>
        <v>Row 183 - All mandatory fields must be given</v>
      </c>
      <c r="L190" t="s">
        <v>1391</v>
      </c>
      <c r="T190" t="s">
        <v>1791</v>
      </c>
    </row>
    <row r="191" spans="6:20" x14ac:dyDescent="0.25">
      <c r="F191" t="s">
        <v>1391</v>
      </c>
      <c r="G191" t="b">
        <f>IF(OR(INDEX(IHZ_HAZ_CONSIGNMENT,184,1)="",AND(INDEX(IHZ_HAZ_DPGREF,184,1)&lt;&gt;"",INDEX(IHZ_HAZ_CONSIGNMENT,184,1)=INDEX(IHZ_HAZ_CONSIGNMENT,183,1),INDEX(IHZ_HAZ_DPGREF,184,1)=INDEX(IHZ_HAZ_DPGREF,183,1))),TRUE,AND(INDEX(IHZ_HAZ_DGCLASSIFI,184,1)&lt;&gt;"",INDEX(IHZ_HAZ_TEXTUALREF,184,1)&lt;&gt;"",INDEX(IHZ_HAZ_TOTAMOUNT,184,1)&lt;&gt;""))</f>
        <v>1</v>
      </c>
      <c r="H191" t="str">
        <f t="shared" si="4"/>
        <v>Row 184 - All mandatory fields must be given</v>
      </c>
      <c r="J191" t="b">
        <f>IF(OR(INDEX(OHZ_HAZ_CONSIGNMENT,184,1)="",AND(INDEX(OHZ_HAZ_DPGREF,184,1)&lt;&gt;"",INDEX(OHZ_HAZ_CONSIGNMENT,184,1)=INDEX(OHZ_HAZ_CONSIGNMENT,183,1),INDEX(OHZ_HAZ_DPGREF,184,1)=INDEX(OHZ_HAZ_DPGREF,183,1))),TRUE,AND(INDEX(OHZ_HAZ_DGCLASSIFI,184,1)&lt;&gt;"",INDEX(OHZ_HAZ_TEXTUALREF,184,1)&lt;&gt;"",INDEX(OHZ_HAZ_TOTAMOUNT,184,1)&lt;&gt;""))</f>
        <v>1</v>
      </c>
      <c r="K191" t="str">
        <f t="shared" si="5"/>
        <v>Row 184 - All mandatory fields must be given</v>
      </c>
      <c r="L191" t="s">
        <v>1391</v>
      </c>
      <c r="T191" t="s">
        <v>1792</v>
      </c>
    </row>
    <row r="192" spans="6:20" x14ac:dyDescent="0.25">
      <c r="F192" t="s">
        <v>1391</v>
      </c>
      <c r="G192" t="b">
        <f>IF(OR(INDEX(IHZ_HAZ_CONSIGNMENT,185,1)="",AND(INDEX(IHZ_HAZ_DPGREF,185,1)&lt;&gt;"",INDEX(IHZ_HAZ_CONSIGNMENT,185,1)=INDEX(IHZ_HAZ_CONSIGNMENT,184,1),INDEX(IHZ_HAZ_DPGREF,185,1)=INDEX(IHZ_HAZ_DPGREF,184,1))),TRUE,AND(INDEX(IHZ_HAZ_DGCLASSIFI,185,1)&lt;&gt;"",INDEX(IHZ_HAZ_TEXTUALREF,185,1)&lt;&gt;"",INDEX(IHZ_HAZ_TOTAMOUNT,185,1)&lt;&gt;""))</f>
        <v>1</v>
      </c>
      <c r="H192" t="str">
        <f t="shared" si="4"/>
        <v>Row 185 - All mandatory fields must be given</v>
      </c>
      <c r="J192" t="b">
        <f>IF(OR(INDEX(OHZ_HAZ_CONSIGNMENT,185,1)="",AND(INDEX(OHZ_HAZ_DPGREF,185,1)&lt;&gt;"",INDEX(OHZ_HAZ_CONSIGNMENT,185,1)=INDEX(OHZ_HAZ_CONSIGNMENT,184,1),INDEX(OHZ_HAZ_DPGREF,185,1)=INDEX(OHZ_HAZ_DPGREF,184,1))),TRUE,AND(INDEX(OHZ_HAZ_DGCLASSIFI,185,1)&lt;&gt;"",INDEX(OHZ_HAZ_TEXTUALREF,185,1)&lt;&gt;"",INDEX(OHZ_HAZ_TOTAMOUNT,185,1)&lt;&gt;""))</f>
        <v>1</v>
      </c>
      <c r="K192" t="str">
        <f t="shared" si="5"/>
        <v>Row 185 - All mandatory fields must be given</v>
      </c>
      <c r="L192" t="s">
        <v>1391</v>
      </c>
      <c r="T192" t="s">
        <v>1793</v>
      </c>
    </row>
    <row r="193" spans="6:20" x14ac:dyDescent="0.25">
      <c r="F193" t="s">
        <v>1391</v>
      </c>
      <c r="G193" t="b">
        <f>IF(OR(INDEX(IHZ_HAZ_CONSIGNMENT,186,1)="",AND(INDEX(IHZ_HAZ_DPGREF,186,1)&lt;&gt;"",INDEX(IHZ_HAZ_CONSIGNMENT,186,1)=INDEX(IHZ_HAZ_CONSIGNMENT,185,1),INDEX(IHZ_HAZ_DPGREF,186,1)=INDEX(IHZ_HAZ_DPGREF,185,1))),TRUE,AND(INDEX(IHZ_HAZ_DGCLASSIFI,186,1)&lt;&gt;"",INDEX(IHZ_HAZ_TEXTUALREF,186,1)&lt;&gt;"",INDEX(IHZ_HAZ_TOTAMOUNT,186,1)&lt;&gt;""))</f>
        <v>1</v>
      </c>
      <c r="H193" t="str">
        <f t="shared" si="4"/>
        <v>Row 186 - All mandatory fields must be given</v>
      </c>
      <c r="J193" t="b">
        <f>IF(OR(INDEX(OHZ_HAZ_CONSIGNMENT,186,1)="",AND(INDEX(OHZ_HAZ_DPGREF,186,1)&lt;&gt;"",INDEX(OHZ_HAZ_CONSIGNMENT,186,1)=INDEX(OHZ_HAZ_CONSIGNMENT,185,1),INDEX(OHZ_HAZ_DPGREF,186,1)=INDEX(OHZ_HAZ_DPGREF,185,1))),TRUE,AND(INDEX(OHZ_HAZ_DGCLASSIFI,186,1)&lt;&gt;"",INDEX(OHZ_HAZ_TEXTUALREF,186,1)&lt;&gt;"",INDEX(OHZ_HAZ_TOTAMOUNT,186,1)&lt;&gt;""))</f>
        <v>1</v>
      </c>
      <c r="K193" t="str">
        <f t="shared" si="5"/>
        <v>Row 186 - All mandatory fields must be given</v>
      </c>
      <c r="L193" t="s">
        <v>1391</v>
      </c>
      <c r="T193" t="s">
        <v>1794</v>
      </c>
    </row>
    <row r="194" spans="6:20" x14ac:dyDescent="0.25">
      <c r="F194" t="s">
        <v>1391</v>
      </c>
      <c r="G194" t="b">
        <f>IF(OR(INDEX(IHZ_HAZ_CONSIGNMENT,187,1)="",AND(INDEX(IHZ_HAZ_DPGREF,187,1)&lt;&gt;"",INDEX(IHZ_HAZ_CONSIGNMENT,187,1)=INDEX(IHZ_HAZ_CONSIGNMENT,186,1),INDEX(IHZ_HAZ_DPGREF,187,1)=INDEX(IHZ_HAZ_DPGREF,186,1))),TRUE,AND(INDEX(IHZ_HAZ_DGCLASSIFI,187,1)&lt;&gt;"",INDEX(IHZ_HAZ_TEXTUALREF,187,1)&lt;&gt;"",INDEX(IHZ_HAZ_TOTAMOUNT,187,1)&lt;&gt;""))</f>
        <v>1</v>
      </c>
      <c r="H194" t="str">
        <f t="shared" si="4"/>
        <v>Row 187 - All mandatory fields must be given</v>
      </c>
      <c r="J194" t="b">
        <f>IF(OR(INDEX(OHZ_HAZ_CONSIGNMENT,187,1)="",AND(INDEX(OHZ_HAZ_DPGREF,187,1)&lt;&gt;"",INDEX(OHZ_HAZ_CONSIGNMENT,187,1)=INDEX(OHZ_HAZ_CONSIGNMENT,186,1),INDEX(OHZ_HAZ_DPGREF,187,1)=INDEX(OHZ_HAZ_DPGREF,186,1))),TRUE,AND(INDEX(OHZ_HAZ_DGCLASSIFI,187,1)&lt;&gt;"",INDEX(OHZ_HAZ_TEXTUALREF,187,1)&lt;&gt;"",INDEX(OHZ_HAZ_TOTAMOUNT,187,1)&lt;&gt;""))</f>
        <v>1</v>
      </c>
      <c r="K194" t="str">
        <f t="shared" si="5"/>
        <v>Row 187 - All mandatory fields must be given</v>
      </c>
      <c r="L194" t="s">
        <v>1391</v>
      </c>
      <c r="T194" t="s">
        <v>1795</v>
      </c>
    </row>
    <row r="195" spans="6:20" x14ac:dyDescent="0.25">
      <c r="F195" t="s">
        <v>1391</v>
      </c>
      <c r="G195" t="b">
        <f>IF(OR(INDEX(IHZ_HAZ_CONSIGNMENT,188,1)="",AND(INDEX(IHZ_HAZ_DPGREF,188,1)&lt;&gt;"",INDEX(IHZ_HAZ_CONSIGNMENT,188,1)=INDEX(IHZ_HAZ_CONSIGNMENT,187,1),INDEX(IHZ_HAZ_DPGREF,188,1)=INDEX(IHZ_HAZ_DPGREF,187,1))),TRUE,AND(INDEX(IHZ_HAZ_DGCLASSIFI,188,1)&lt;&gt;"",INDEX(IHZ_HAZ_TEXTUALREF,188,1)&lt;&gt;"",INDEX(IHZ_HAZ_TOTAMOUNT,188,1)&lt;&gt;""))</f>
        <v>1</v>
      </c>
      <c r="H195" t="str">
        <f t="shared" si="4"/>
        <v>Row 188 - All mandatory fields must be given</v>
      </c>
      <c r="J195" t="b">
        <f>IF(OR(INDEX(OHZ_HAZ_CONSIGNMENT,188,1)="",AND(INDEX(OHZ_HAZ_DPGREF,188,1)&lt;&gt;"",INDEX(OHZ_HAZ_CONSIGNMENT,188,1)=INDEX(OHZ_HAZ_CONSIGNMENT,187,1),INDEX(OHZ_HAZ_DPGREF,188,1)=INDEX(OHZ_HAZ_DPGREF,187,1))),TRUE,AND(INDEX(OHZ_HAZ_DGCLASSIFI,188,1)&lt;&gt;"",INDEX(OHZ_HAZ_TEXTUALREF,188,1)&lt;&gt;"",INDEX(OHZ_HAZ_TOTAMOUNT,188,1)&lt;&gt;""))</f>
        <v>1</v>
      </c>
      <c r="K195" t="str">
        <f t="shared" si="5"/>
        <v>Row 188 - All mandatory fields must be given</v>
      </c>
      <c r="L195" t="s">
        <v>1391</v>
      </c>
      <c r="T195" t="s">
        <v>1796</v>
      </c>
    </row>
    <row r="196" spans="6:20" x14ac:dyDescent="0.25">
      <c r="F196" t="s">
        <v>1391</v>
      </c>
      <c r="G196" t="b">
        <f>IF(OR(INDEX(IHZ_HAZ_CONSIGNMENT,189,1)="",AND(INDEX(IHZ_HAZ_DPGREF,189,1)&lt;&gt;"",INDEX(IHZ_HAZ_CONSIGNMENT,189,1)=INDEX(IHZ_HAZ_CONSIGNMENT,188,1),INDEX(IHZ_HAZ_DPGREF,189,1)=INDEX(IHZ_HAZ_DPGREF,188,1))),TRUE,AND(INDEX(IHZ_HAZ_DGCLASSIFI,189,1)&lt;&gt;"",INDEX(IHZ_HAZ_TEXTUALREF,189,1)&lt;&gt;"",INDEX(IHZ_HAZ_TOTAMOUNT,189,1)&lt;&gt;""))</f>
        <v>1</v>
      </c>
      <c r="H196" t="str">
        <f t="shared" si="4"/>
        <v>Row 189 - All mandatory fields must be given</v>
      </c>
      <c r="J196" t="b">
        <f>IF(OR(INDEX(OHZ_HAZ_CONSIGNMENT,189,1)="",AND(INDEX(OHZ_HAZ_DPGREF,189,1)&lt;&gt;"",INDEX(OHZ_HAZ_CONSIGNMENT,189,1)=INDEX(OHZ_HAZ_CONSIGNMENT,188,1),INDEX(OHZ_HAZ_DPGREF,189,1)=INDEX(OHZ_HAZ_DPGREF,188,1))),TRUE,AND(INDEX(OHZ_HAZ_DGCLASSIFI,189,1)&lt;&gt;"",INDEX(OHZ_HAZ_TEXTUALREF,189,1)&lt;&gt;"",INDEX(OHZ_HAZ_TOTAMOUNT,189,1)&lt;&gt;""))</f>
        <v>1</v>
      </c>
      <c r="K196" t="str">
        <f t="shared" si="5"/>
        <v>Row 189 - All mandatory fields must be given</v>
      </c>
      <c r="L196" t="s">
        <v>1391</v>
      </c>
      <c r="T196" t="s">
        <v>1797</v>
      </c>
    </row>
    <row r="197" spans="6:20" x14ac:dyDescent="0.25">
      <c r="F197" t="s">
        <v>1391</v>
      </c>
      <c r="G197" t="b">
        <f>IF(OR(INDEX(IHZ_HAZ_CONSIGNMENT,190,1)="",AND(INDEX(IHZ_HAZ_DPGREF,190,1)&lt;&gt;"",INDEX(IHZ_HAZ_CONSIGNMENT,190,1)=INDEX(IHZ_HAZ_CONSIGNMENT,189,1),INDEX(IHZ_HAZ_DPGREF,190,1)=INDEX(IHZ_HAZ_DPGREF,189,1))),TRUE,AND(INDEX(IHZ_HAZ_DGCLASSIFI,190,1)&lt;&gt;"",INDEX(IHZ_HAZ_TEXTUALREF,190,1)&lt;&gt;"",INDEX(IHZ_HAZ_TOTAMOUNT,190,1)&lt;&gt;""))</f>
        <v>1</v>
      </c>
      <c r="H197" t="str">
        <f t="shared" si="4"/>
        <v>Row 190 - All mandatory fields must be given</v>
      </c>
      <c r="J197" t="b">
        <f>IF(OR(INDEX(OHZ_HAZ_CONSIGNMENT,190,1)="",AND(INDEX(OHZ_HAZ_DPGREF,190,1)&lt;&gt;"",INDEX(OHZ_HAZ_CONSIGNMENT,190,1)=INDEX(OHZ_HAZ_CONSIGNMENT,189,1),INDEX(OHZ_HAZ_DPGREF,190,1)=INDEX(OHZ_HAZ_DPGREF,189,1))),TRUE,AND(INDEX(OHZ_HAZ_DGCLASSIFI,190,1)&lt;&gt;"",INDEX(OHZ_HAZ_TEXTUALREF,190,1)&lt;&gt;"",INDEX(OHZ_HAZ_TOTAMOUNT,190,1)&lt;&gt;""))</f>
        <v>1</v>
      </c>
      <c r="K197" t="str">
        <f t="shared" si="5"/>
        <v>Row 190 - All mandatory fields must be given</v>
      </c>
      <c r="L197" t="s">
        <v>1391</v>
      </c>
      <c r="T197" t="s">
        <v>1798</v>
      </c>
    </row>
    <row r="198" spans="6:20" x14ac:dyDescent="0.25">
      <c r="F198" t="s">
        <v>1391</v>
      </c>
      <c r="G198" t="b">
        <f>IF(OR(INDEX(IHZ_HAZ_CONSIGNMENT,191,1)="",AND(INDEX(IHZ_HAZ_DPGREF,191,1)&lt;&gt;"",INDEX(IHZ_HAZ_CONSIGNMENT,191,1)=INDEX(IHZ_HAZ_CONSIGNMENT,190,1),INDEX(IHZ_HAZ_DPGREF,191,1)=INDEX(IHZ_HAZ_DPGREF,190,1))),TRUE,AND(INDEX(IHZ_HAZ_DGCLASSIFI,191,1)&lt;&gt;"",INDEX(IHZ_HAZ_TEXTUALREF,191,1)&lt;&gt;"",INDEX(IHZ_HAZ_TOTAMOUNT,191,1)&lt;&gt;""))</f>
        <v>1</v>
      </c>
      <c r="H198" t="str">
        <f t="shared" si="4"/>
        <v>Row 191 - All mandatory fields must be given</v>
      </c>
      <c r="J198" t="b">
        <f>IF(OR(INDEX(OHZ_HAZ_CONSIGNMENT,191,1)="",AND(INDEX(OHZ_HAZ_DPGREF,191,1)&lt;&gt;"",INDEX(OHZ_HAZ_CONSIGNMENT,191,1)=INDEX(OHZ_HAZ_CONSIGNMENT,190,1),INDEX(OHZ_HAZ_DPGREF,191,1)=INDEX(OHZ_HAZ_DPGREF,190,1))),TRUE,AND(INDEX(OHZ_HAZ_DGCLASSIFI,191,1)&lt;&gt;"",INDEX(OHZ_HAZ_TEXTUALREF,191,1)&lt;&gt;"",INDEX(OHZ_HAZ_TOTAMOUNT,191,1)&lt;&gt;""))</f>
        <v>1</v>
      </c>
      <c r="K198" t="str">
        <f t="shared" si="5"/>
        <v>Row 191 - All mandatory fields must be given</v>
      </c>
      <c r="L198" t="s">
        <v>1391</v>
      </c>
      <c r="T198" t="s">
        <v>1799</v>
      </c>
    </row>
    <row r="199" spans="6:20" x14ac:dyDescent="0.25">
      <c r="F199" t="s">
        <v>1391</v>
      </c>
      <c r="G199" t="b">
        <f>IF(OR(INDEX(IHZ_HAZ_CONSIGNMENT,192,1)="",AND(INDEX(IHZ_HAZ_DPGREF,192,1)&lt;&gt;"",INDEX(IHZ_HAZ_CONSIGNMENT,192,1)=INDEX(IHZ_HAZ_CONSIGNMENT,191,1),INDEX(IHZ_HAZ_DPGREF,192,1)=INDEX(IHZ_HAZ_DPGREF,191,1))),TRUE,AND(INDEX(IHZ_HAZ_DGCLASSIFI,192,1)&lt;&gt;"",INDEX(IHZ_HAZ_TEXTUALREF,192,1)&lt;&gt;"",INDEX(IHZ_HAZ_TOTAMOUNT,192,1)&lt;&gt;""))</f>
        <v>1</v>
      </c>
      <c r="H199" t="str">
        <f t="shared" si="4"/>
        <v>Row 192 - All mandatory fields must be given</v>
      </c>
      <c r="J199" t="b">
        <f>IF(OR(INDEX(OHZ_HAZ_CONSIGNMENT,192,1)="",AND(INDEX(OHZ_HAZ_DPGREF,192,1)&lt;&gt;"",INDEX(OHZ_HAZ_CONSIGNMENT,192,1)=INDEX(OHZ_HAZ_CONSIGNMENT,191,1),INDEX(OHZ_HAZ_DPGREF,192,1)=INDEX(OHZ_HAZ_DPGREF,191,1))),TRUE,AND(INDEX(OHZ_HAZ_DGCLASSIFI,192,1)&lt;&gt;"",INDEX(OHZ_HAZ_TEXTUALREF,192,1)&lt;&gt;"",INDEX(OHZ_HAZ_TOTAMOUNT,192,1)&lt;&gt;""))</f>
        <v>1</v>
      </c>
      <c r="K199" t="str">
        <f t="shared" si="5"/>
        <v>Row 192 - All mandatory fields must be given</v>
      </c>
      <c r="L199" t="s">
        <v>1391</v>
      </c>
      <c r="T199" t="s">
        <v>1800</v>
      </c>
    </row>
    <row r="200" spans="6:20" x14ac:dyDescent="0.25">
      <c r="F200" t="s">
        <v>1391</v>
      </c>
      <c r="G200" t="b">
        <f>IF(OR(INDEX(IHZ_HAZ_CONSIGNMENT,193,1)="",AND(INDEX(IHZ_HAZ_DPGREF,193,1)&lt;&gt;"",INDEX(IHZ_HAZ_CONSIGNMENT,193,1)=INDEX(IHZ_HAZ_CONSIGNMENT,192,1),INDEX(IHZ_HAZ_DPGREF,193,1)=INDEX(IHZ_HAZ_DPGREF,192,1))),TRUE,AND(INDEX(IHZ_HAZ_DGCLASSIFI,193,1)&lt;&gt;"",INDEX(IHZ_HAZ_TEXTUALREF,193,1)&lt;&gt;"",INDEX(IHZ_HAZ_TOTAMOUNT,193,1)&lt;&gt;""))</f>
        <v>1</v>
      </c>
      <c r="H200" t="str">
        <f t="shared" si="4"/>
        <v>Row 193 - All mandatory fields must be given</v>
      </c>
      <c r="J200" t="b">
        <f>IF(OR(INDEX(OHZ_HAZ_CONSIGNMENT,193,1)="",AND(INDEX(OHZ_HAZ_DPGREF,193,1)&lt;&gt;"",INDEX(OHZ_HAZ_CONSIGNMENT,193,1)=INDEX(OHZ_HAZ_CONSIGNMENT,192,1),INDEX(OHZ_HAZ_DPGREF,193,1)=INDEX(OHZ_HAZ_DPGREF,192,1))),TRUE,AND(INDEX(OHZ_HAZ_DGCLASSIFI,193,1)&lt;&gt;"",INDEX(OHZ_HAZ_TEXTUALREF,193,1)&lt;&gt;"",INDEX(OHZ_HAZ_TOTAMOUNT,193,1)&lt;&gt;""))</f>
        <v>1</v>
      </c>
      <c r="K200" t="str">
        <f t="shared" si="5"/>
        <v>Row 193 - All mandatory fields must be given</v>
      </c>
      <c r="L200" t="s">
        <v>1391</v>
      </c>
      <c r="T200" t="s">
        <v>1801</v>
      </c>
    </row>
    <row r="201" spans="6:20" x14ac:dyDescent="0.25">
      <c r="F201" t="s">
        <v>1391</v>
      </c>
      <c r="G201" t="b">
        <f>IF(OR(INDEX(IHZ_HAZ_CONSIGNMENT,194,1)="",AND(INDEX(IHZ_HAZ_DPGREF,194,1)&lt;&gt;"",INDEX(IHZ_HAZ_CONSIGNMENT,194,1)=INDEX(IHZ_HAZ_CONSIGNMENT,193,1),INDEX(IHZ_HAZ_DPGREF,194,1)=INDEX(IHZ_HAZ_DPGREF,193,1))),TRUE,AND(INDEX(IHZ_HAZ_DGCLASSIFI,194,1)&lt;&gt;"",INDEX(IHZ_HAZ_TEXTUALREF,194,1)&lt;&gt;"",INDEX(IHZ_HAZ_TOTAMOUNT,194,1)&lt;&gt;""))</f>
        <v>1</v>
      </c>
      <c r="H201" t="str">
        <f t="shared" ref="H201:H257" si="6">T194&amp;$V$1</f>
        <v>Row 194 - All mandatory fields must be given</v>
      </c>
      <c r="J201" t="b">
        <f>IF(OR(INDEX(OHZ_HAZ_CONSIGNMENT,194,1)="",AND(INDEX(OHZ_HAZ_DPGREF,194,1)&lt;&gt;"",INDEX(OHZ_HAZ_CONSIGNMENT,194,1)=INDEX(OHZ_HAZ_CONSIGNMENT,193,1),INDEX(OHZ_HAZ_DPGREF,194,1)=INDEX(OHZ_HAZ_DPGREF,193,1))),TRUE,AND(INDEX(OHZ_HAZ_DGCLASSIFI,194,1)&lt;&gt;"",INDEX(OHZ_HAZ_TEXTUALREF,194,1)&lt;&gt;"",INDEX(OHZ_HAZ_TOTAMOUNT,194,1)&lt;&gt;""))</f>
        <v>1</v>
      </c>
      <c r="K201" t="str">
        <f t="shared" ref="K201:K257" si="7">T194&amp;$V$1</f>
        <v>Row 194 - All mandatory fields must be given</v>
      </c>
      <c r="L201" t="s">
        <v>1391</v>
      </c>
      <c r="T201" t="s">
        <v>1802</v>
      </c>
    </row>
    <row r="202" spans="6:20" x14ac:dyDescent="0.25">
      <c r="F202" t="s">
        <v>1391</v>
      </c>
      <c r="G202" t="b">
        <f>IF(OR(INDEX(IHZ_HAZ_CONSIGNMENT,195,1)="",AND(INDEX(IHZ_HAZ_DPGREF,195,1)&lt;&gt;"",INDEX(IHZ_HAZ_CONSIGNMENT,195,1)=INDEX(IHZ_HAZ_CONSIGNMENT,194,1),INDEX(IHZ_HAZ_DPGREF,195,1)=INDEX(IHZ_HAZ_DPGREF,194,1))),TRUE,AND(INDEX(IHZ_HAZ_DGCLASSIFI,195,1)&lt;&gt;"",INDEX(IHZ_HAZ_TEXTUALREF,195,1)&lt;&gt;"",INDEX(IHZ_HAZ_TOTAMOUNT,195,1)&lt;&gt;""))</f>
        <v>1</v>
      </c>
      <c r="H202" t="str">
        <f t="shared" si="6"/>
        <v>Row 195 - All mandatory fields must be given</v>
      </c>
      <c r="J202" t="b">
        <f>IF(OR(INDEX(OHZ_HAZ_CONSIGNMENT,195,1)="",AND(INDEX(OHZ_HAZ_DPGREF,195,1)&lt;&gt;"",INDEX(OHZ_HAZ_CONSIGNMENT,195,1)=INDEX(OHZ_HAZ_CONSIGNMENT,194,1),INDEX(OHZ_HAZ_DPGREF,195,1)=INDEX(OHZ_HAZ_DPGREF,194,1))),TRUE,AND(INDEX(OHZ_HAZ_DGCLASSIFI,195,1)&lt;&gt;"",INDEX(OHZ_HAZ_TEXTUALREF,195,1)&lt;&gt;"",INDEX(OHZ_HAZ_TOTAMOUNT,195,1)&lt;&gt;""))</f>
        <v>1</v>
      </c>
      <c r="K202" t="str">
        <f t="shared" si="7"/>
        <v>Row 195 - All mandatory fields must be given</v>
      </c>
      <c r="L202" t="s">
        <v>1391</v>
      </c>
      <c r="T202" t="s">
        <v>1803</v>
      </c>
    </row>
    <row r="203" spans="6:20" x14ac:dyDescent="0.25">
      <c r="F203" t="s">
        <v>1391</v>
      </c>
      <c r="G203" t="b">
        <f>IF(OR(INDEX(IHZ_HAZ_CONSIGNMENT,196,1)="",AND(INDEX(IHZ_HAZ_DPGREF,196,1)&lt;&gt;"",INDEX(IHZ_HAZ_CONSIGNMENT,196,1)=INDEX(IHZ_HAZ_CONSIGNMENT,195,1),INDEX(IHZ_HAZ_DPGREF,196,1)=INDEX(IHZ_HAZ_DPGREF,195,1))),TRUE,AND(INDEX(IHZ_HAZ_DGCLASSIFI,196,1)&lt;&gt;"",INDEX(IHZ_HAZ_TEXTUALREF,196,1)&lt;&gt;"",INDEX(IHZ_HAZ_TOTAMOUNT,196,1)&lt;&gt;""))</f>
        <v>1</v>
      </c>
      <c r="H203" t="str">
        <f t="shared" si="6"/>
        <v>Row 196 - All mandatory fields must be given</v>
      </c>
      <c r="J203" t="b">
        <f>IF(OR(INDEX(OHZ_HAZ_CONSIGNMENT,196,1)="",AND(INDEX(OHZ_HAZ_DPGREF,196,1)&lt;&gt;"",INDEX(OHZ_HAZ_CONSIGNMENT,196,1)=INDEX(OHZ_HAZ_CONSIGNMENT,195,1),INDEX(OHZ_HAZ_DPGREF,196,1)=INDEX(OHZ_HAZ_DPGREF,195,1))),TRUE,AND(INDEX(OHZ_HAZ_DGCLASSIFI,196,1)&lt;&gt;"",INDEX(OHZ_HAZ_TEXTUALREF,196,1)&lt;&gt;"",INDEX(OHZ_HAZ_TOTAMOUNT,196,1)&lt;&gt;""))</f>
        <v>1</v>
      </c>
      <c r="K203" t="str">
        <f t="shared" si="7"/>
        <v>Row 196 - All mandatory fields must be given</v>
      </c>
      <c r="L203" t="s">
        <v>1391</v>
      </c>
      <c r="T203" t="s">
        <v>1804</v>
      </c>
    </row>
    <row r="204" spans="6:20" x14ac:dyDescent="0.25">
      <c r="F204" t="s">
        <v>1391</v>
      </c>
      <c r="G204" t="b">
        <f>IF(OR(INDEX(IHZ_HAZ_CONSIGNMENT,197,1)="",AND(INDEX(IHZ_HAZ_DPGREF,197,1)&lt;&gt;"",INDEX(IHZ_HAZ_CONSIGNMENT,197,1)=INDEX(IHZ_HAZ_CONSIGNMENT,196,1),INDEX(IHZ_HAZ_DPGREF,197,1)=INDEX(IHZ_HAZ_DPGREF,196,1))),TRUE,AND(INDEX(IHZ_HAZ_DGCLASSIFI,197,1)&lt;&gt;"",INDEX(IHZ_HAZ_TEXTUALREF,197,1)&lt;&gt;"",INDEX(IHZ_HAZ_TOTAMOUNT,197,1)&lt;&gt;""))</f>
        <v>1</v>
      </c>
      <c r="H204" t="str">
        <f t="shared" si="6"/>
        <v>Row 197 - All mandatory fields must be given</v>
      </c>
      <c r="J204" t="b">
        <f>IF(OR(INDEX(OHZ_HAZ_CONSIGNMENT,197,1)="",AND(INDEX(OHZ_HAZ_DPGREF,197,1)&lt;&gt;"",INDEX(OHZ_HAZ_CONSIGNMENT,197,1)=INDEX(OHZ_HAZ_CONSIGNMENT,196,1),INDEX(OHZ_HAZ_DPGREF,197,1)=INDEX(OHZ_HAZ_DPGREF,196,1))),TRUE,AND(INDEX(OHZ_HAZ_DGCLASSIFI,197,1)&lt;&gt;"",INDEX(OHZ_HAZ_TEXTUALREF,197,1)&lt;&gt;"",INDEX(OHZ_HAZ_TOTAMOUNT,197,1)&lt;&gt;""))</f>
        <v>1</v>
      </c>
      <c r="K204" t="str">
        <f t="shared" si="7"/>
        <v>Row 197 - All mandatory fields must be given</v>
      </c>
      <c r="L204" t="s">
        <v>1391</v>
      </c>
      <c r="T204" t="s">
        <v>1805</v>
      </c>
    </row>
    <row r="205" spans="6:20" x14ac:dyDescent="0.25">
      <c r="F205" t="s">
        <v>1391</v>
      </c>
      <c r="G205" t="b">
        <f>IF(OR(INDEX(IHZ_HAZ_CONSIGNMENT,198,1)="",AND(INDEX(IHZ_HAZ_DPGREF,198,1)&lt;&gt;"",INDEX(IHZ_HAZ_CONSIGNMENT,198,1)=INDEX(IHZ_HAZ_CONSIGNMENT,197,1),INDEX(IHZ_HAZ_DPGREF,198,1)=INDEX(IHZ_HAZ_DPGREF,197,1))),TRUE,AND(INDEX(IHZ_HAZ_DGCLASSIFI,198,1)&lt;&gt;"",INDEX(IHZ_HAZ_TEXTUALREF,198,1)&lt;&gt;"",INDEX(IHZ_HAZ_TOTAMOUNT,198,1)&lt;&gt;""))</f>
        <v>1</v>
      </c>
      <c r="H205" t="str">
        <f t="shared" si="6"/>
        <v>Row 198 - All mandatory fields must be given</v>
      </c>
      <c r="J205" t="b">
        <f>IF(OR(INDEX(OHZ_HAZ_CONSIGNMENT,198,1)="",AND(INDEX(OHZ_HAZ_DPGREF,198,1)&lt;&gt;"",INDEX(OHZ_HAZ_CONSIGNMENT,198,1)=INDEX(OHZ_HAZ_CONSIGNMENT,197,1),INDEX(OHZ_HAZ_DPGREF,198,1)=INDEX(OHZ_HAZ_DPGREF,197,1))),TRUE,AND(INDEX(OHZ_HAZ_DGCLASSIFI,198,1)&lt;&gt;"",INDEX(OHZ_HAZ_TEXTUALREF,198,1)&lt;&gt;"",INDEX(OHZ_HAZ_TOTAMOUNT,198,1)&lt;&gt;""))</f>
        <v>1</v>
      </c>
      <c r="K205" t="str">
        <f t="shared" si="7"/>
        <v>Row 198 - All mandatory fields must be given</v>
      </c>
      <c r="L205" t="s">
        <v>1391</v>
      </c>
      <c r="T205" t="s">
        <v>1806</v>
      </c>
    </row>
    <row r="206" spans="6:20" x14ac:dyDescent="0.25">
      <c r="F206" t="s">
        <v>1391</v>
      </c>
      <c r="G206" t="b">
        <f>IF(OR(INDEX(IHZ_HAZ_CONSIGNMENT,199,1)="",AND(INDEX(IHZ_HAZ_DPGREF,199,1)&lt;&gt;"",INDEX(IHZ_HAZ_CONSIGNMENT,199,1)=INDEX(IHZ_HAZ_CONSIGNMENT,198,1),INDEX(IHZ_HAZ_DPGREF,199,1)=INDEX(IHZ_HAZ_DPGREF,198,1))),TRUE,AND(INDEX(IHZ_HAZ_DGCLASSIFI,199,1)&lt;&gt;"",INDEX(IHZ_HAZ_TEXTUALREF,199,1)&lt;&gt;"",INDEX(IHZ_HAZ_TOTAMOUNT,199,1)&lt;&gt;""))</f>
        <v>1</v>
      </c>
      <c r="H206" t="str">
        <f t="shared" si="6"/>
        <v>Row 199 - All mandatory fields must be given</v>
      </c>
      <c r="J206" t="b">
        <f>IF(OR(INDEX(OHZ_HAZ_CONSIGNMENT,199,1)="",AND(INDEX(OHZ_HAZ_DPGREF,199,1)&lt;&gt;"",INDEX(OHZ_HAZ_CONSIGNMENT,199,1)=INDEX(OHZ_HAZ_CONSIGNMENT,198,1),INDEX(OHZ_HAZ_DPGREF,199,1)=INDEX(OHZ_HAZ_DPGREF,198,1))),TRUE,AND(INDEX(OHZ_HAZ_DGCLASSIFI,199,1)&lt;&gt;"",INDEX(OHZ_HAZ_TEXTUALREF,199,1)&lt;&gt;"",INDEX(OHZ_HAZ_TOTAMOUNT,199,1)&lt;&gt;""))</f>
        <v>1</v>
      </c>
      <c r="K206" t="str">
        <f t="shared" si="7"/>
        <v>Row 199 - All mandatory fields must be given</v>
      </c>
      <c r="L206" t="s">
        <v>1391</v>
      </c>
      <c r="T206" t="s">
        <v>1807</v>
      </c>
    </row>
    <row r="207" spans="6:20" x14ac:dyDescent="0.25">
      <c r="F207" t="s">
        <v>1391</v>
      </c>
      <c r="G207" t="b">
        <f>IF(OR(INDEX(IHZ_HAZ_CONSIGNMENT,200,1)="",AND(INDEX(IHZ_HAZ_DPGREF,200,1)&lt;&gt;"",INDEX(IHZ_HAZ_CONSIGNMENT,200,1)=INDEX(IHZ_HAZ_CONSIGNMENT,199,1),INDEX(IHZ_HAZ_DPGREF,200,1)=INDEX(IHZ_HAZ_DPGREF,199,1))),TRUE,AND(INDEX(IHZ_HAZ_DGCLASSIFI,200,1)&lt;&gt;"",INDEX(IHZ_HAZ_TEXTUALREF,200,1)&lt;&gt;"",INDEX(IHZ_HAZ_TOTAMOUNT,200,1)&lt;&gt;""))</f>
        <v>1</v>
      </c>
      <c r="H207" t="str">
        <f t="shared" si="6"/>
        <v>Row 200 - All mandatory fields must be given</v>
      </c>
      <c r="J207" t="b">
        <f>IF(OR(INDEX(OHZ_HAZ_CONSIGNMENT,200,1)="",AND(INDEX(OHZ_HAZ_DPGREF,200,1)&lt;&gt;"",INDEX(OHZ_HAZ_CONSIGNMENT,200,1)=INDEX(OHZ_HAZ_CONSIGNMENT,199,1),INDEX(OHZ_HAZ_DPGREF,200,1)=INDEX(OHZ_HAZ_DPGREF,199,1))),TRUE,AND(INDEX(OHZ_HAZ_DGCLASSIFI,200,1)&lt;&gt;"",INDEX(OHZ_HAZ_TEXTUALREF,200,1)&lt;&gt;"",INDEX(OHZ_HAZ_TOTAMOUNT,200,1)&lt;&gt;""))</f>
        <v>1</v>
      </c>
      <c r="K207" t="str">
        <f t="shared" si="7"/>
        <v>Row 200 - All mandatory fields must be given</v>
      </c>
      <c r="L207" t="s">
        <v>1391</v>
      </c>
      <c r="T207" t="s">
        <v>1808</v>
      </c>
    </row>
    <row r="208" spans="6:20" x14ac:dyDescent="0.25">
      <c r="F208" t="s">
        <v>1391</v>
      </c>
      <c r="G208" t="b">
        <f>IF(OR(INDEX(IHZ_HAZ_CONSIGNMENT,201,1)="",AND(INDEX(IHZ_HAZ_DPGREF,201,1)&lt;&gt;"",INDEX(IHZ_HAZ_CONSIGNMENT,201,1)=INDEX(IHZ_HAZ_CONSIGNMENT,200,1),INDEX(IHZ_HAZ_DPGREF,201,1)=INDEX(IHZ_HAZ_DPGREF,200,1))),TRUE,AND(INDEX(IHZ_HAZ_DGCLASSIFI,201,1)&lt;&gt;"",INDEX(IHZ_HAZ_TEXTUALREF,201,1)&lt;&gt;"",INDEX(IHZ_HAZ_TOTAMOUNT,201,1)&lt;&gt;""))</f>
        <v>1</v>
      </c>
      <c r="H208" t="str">
        <f t="shared" si="6"/>
        <v>Row 201 - All mandatory fields must be given</v>
      </c>
      <c r="J208" t="b">
        <f>IF(OR(INDEX(OHZ_HAZ_CONSIGNMENT,201,1)="",AND(INDEX(OHZ_HAZ_DPGREF,201,1)&lt;&gt;"",INDEX(OHZ_HAZ_CONSIGNMENT,201,1)=INDEX(OHZ_HAZ_CONSIGNMENT,200,1),INDEX(OHZ_HAZ_DPGREF,201,1)=INDEX(OHZ_HAZ_DPGREF,200,1))),TRUE,AND(INDEX(OHZ_HAZ_DGCLASSIFI,201,1)&lt;&gt;"",INDEX(OHZ_HAZ_TEXTUALREF,201,1)&lt;&gt;"",INDEX(OHZ_HAZ_TOTAMOUNT,201,1)&lt;&gt;""))</f>
        <v>1</v>
      </c>
      <c r="K208" t="str">
        <f t="shared" si="7"/>
        <v>Row 201 - All mandatory fields must be given</v>
      </c>
      <c r="L208" t="s">
        <v>1391</v>
      </c>
      <c r="T208" t="s">
        <v>1809</v>
      </c>
    </row>
    <row r="209" spans="6:20" x14ac:dyDescent="0.25">
      <c r="F209" t="s">
        <v>1391</v>
      </c>
      <c r="G209" t="b">
        <f>IF(OR(INDEX(IHZ_HAZ_CONSIGNMENT,202,1)="",AND(INDEX(IHZ_HAZ_DPGREF,202,1)&lt;&gt;"",INDEX(IHZ_HAZ_CONSIGNMENT,202,1)=INDEX(IHZ_HAZ_CONSIGNMENT,201,1),INDEX(IHZ_HAZ_DPGREF,202,1)=INDEX(IHZ_HAZ_DPGREF,201,1))),TRUE,AND(INDEX(IHZ_HAZ_DGCLASSIFI,202,1)&lt;&gt;"",INDEX(IHZ_HAZ_TEXTUALREF,202,1)&lt;&gt;"",INDEX(IHZ_HAZ_TOTAMOUNT,202,1)&lt;&gt;""))</f>
        <v>1</v>
      </c>
      <c r="H209" t="str">
        <f t="shared" si="6"/>
        <v>Row 202 - All mandatory fields must be given</v>
      </c>
      <c r="J209" t="b">
        <f>IF(OR(INDEX(OHZ_HAZ_CONSIGNMENT,202,1)="",AND(INDEX(OHZ_HAZ_DPGREF,202,1)&lt;&gt;"",INDEX(OHZ_HAZ_CONSIGNMENT,202,1)=INDEX(OHZ_HAZ_CONSIGNMENT,201,1),INDEX(OHZ_HAZ_DPGREF,202,1)=INDEX(OHZ_HAZ_DPGREF,201,1))),TRUE,AND(INDEX(OHZ_HAZ_DGCLASSIFI,202,1)&lt;&gt;"",INDEX(OHZ_HAZ_TEXTUALREF,202,1)&lt;&gt;"",INDEX(OHZ_HAZ_TOTAMOUNT,202,1)&lt;&gt;""))</f>
        <v>1</v>
      </c>
      <c r="K209" t="str">
        <f t="shared" si="7"/>
        <v>Row 202 - All mandatory fields must be given</v>
      </c>
      <c r="L209" t="s">
        <v>1391</v>
      </c>
      <c r="T209" t="s">
        <v>1810</v>
      </c>
    </row>
    <row r="210" spans="6:20" x14ac:dyDescent="0.25">
      <c r="F210" t="s">
        <v>1391</v>
      </c>
      <c r="G210" t="b">
        <f>IF(OR(INDEX(IHZ_HAZ_CONSIGNMENT,203,1)="",AND(INDEX(IHZ_HAZ_DPGREF,203,1)&lt;&gt;"",INDEX(IHZ_HAZ_CONSIGNMENT,203,1)=INDEX(IHZ_HAZ_CONSIGNMENT,202,1),INDEX(IHZ_HAZ_DPGREF,203,1)=INDEX(IHZ_HAZ_DPGREF,202,1))),TRUE,AND(INDEX(IHZ_HAZ_DGCLASSIFI,203,1)&lt;&gt;"",INDEX(IHZ_HAZ_TEXTUALREF,203,1)&lt;&gt;"",INDEX(IHZ_HAZ_TOTAMOUNT,203,1)&lt;&gt;""))</f>
        <v>1</v>
      </c>
      <c r="H210" t="str">
        <f t="shared" si="6"/>
        <v>Row 203 - All mandatory fields must be given</v>
      </c>
      <c r="J210" t="b">
        <f>IF(OR(INDEX(OHZ_HAZ_CONSIGNMENT,203,1)="",AND(INDEX(OHZ_HAZ_DPGREF,203,1)&lt;&gt;"",INDEX(OHZ_HAZ_CONSIGNMENT,203,1)=INDEX(OHZ_HAZ_CONSIGNMENT,202,1),INDEX(OHZ_HAZ_DPGREF,203,1)=INDEX(OHZ_HAZ_DPGREF,202,1))),TRUE,AND(INDEX(OHZ_HAZ_DGCLASSIFI,203,1)&lt;&gt;"",INDEX(OHZ_HAZ_TEXTUALREF,203,1)&lt;&gt;"",INDEX(OHZ_HAZ_TOTAMOUNT,203,1)&lt;&gt;""))</f>
        <v>1</v>
      </c>
      <c r="K210" t="str">
        <f t="shared" si="7"/>
        <v>Row 203 - All mandatory fields must be given</v>
      </c>
      <c r="L210" t="s">
        <v>1391</v>
      </c>
      <c r="T210" t="s">
        <v>1811</v>
      </c>
    </row>
    <row r="211" spans="6:20" x14ac:dyDescent="0.25">
      <c r="F211" t="s">
        <v>1391</v>
      </c>
      <c r="G211" t="b">
        <f>IF(OR(INDEX(IHZ_HAZ_CONSIGNMENT,204,1)="",AND(INDEX(IHZ_HAZ_DPGREF,204,1)&lt;&gt;"",INDEX(IHZ_HAZ_CONSIGNMENT,204,1)=INDEX(IHZ_HAZ_CONSIGNMENT,203,1),INDEX(IHZ_HAZ_DPGREF,204,1)=INDEX(IHZ_HAZ_DPGREF,203,1))),TRUE,AND(INDEX(IHZ_HAZ_DGCLASSIFI,204,1)&lt;&gt;"",INDEX(IHZ_HAZ_TEXTUALREF,204,1)&lt;&gt;"",INDEX(IHZ_HAZ_TOTAMOUNT,204,1)&lt;&gt;""))</f>
        <v>1</v>
      </c>
      <c r="H211" t="str">
        <f t="shared" si="6"/>
        <v>Row 204 - All mandatory fields must be given</v>
      </c>
      <c r="J211" t="b">
        <f>IF(OR(INDEX(OHZ_HAZ_CONSIGNMENT,204,1)="",AND(INDEX(OHZ_HAZ_DPGREF,204,1)&lt;&gt;"",INDEX(OHZ_HAZ_CONSIGNMENT,204,1)=INDEX(OHZ_HAZ_CONSIGNMENT,203,1),INDEX(OHZ_HAZ_DPGREF,204,1)=INDEX(OHZ_HAZ_DPGREF,203,1))),TRUE,AND(INDEX(OHZ_HAZ_DGCLASSIFI,204,1)&lt;&gt;"",INDEX(OHZ_HAZ_TEXTUALREF,204,1)&lt;&gt;"",INDEX(OHZ_HAZ_TOTAMOUNT,204,1)&lt;&gt;""))</f>
        <v>1</v>
      </c>
      <c r="K211" t="str">
        <f t="shared" si="7"/>
        <v>Row 204 - All mandatory fields must be given</v>
      </c>
      <c r="L211" t="s">
        <v>1391</v>
      </c>
      <c r="T211" t="s">
        <v>1812</v>
      </c>
    </row>
    <row r="212" spans="6:20" x14ac:dyDescent="0.25">
      <c r="F212" t="s">
        <v>1391</v>
      </c>
      <c r="G212" t="b">
        <f>IF(OR(INDEX(IHZ_HAZ_CONSIGNMENT,205,1)="",AND(INDEX(IHZ_HAZ_DPGREF,205,1)&lt;&gt;"",INDEX(IHZ_HAZ_CONSIGNMENT,205,1)=INDEX(IHZ_HAZ_CONSIGNMENT,204,1),INDEX(IHZ_HAZ_DPGREF,205,1)=INDEX(IHZ_HAZ_DPGREF,204,1))),TRUE,AND(INDEX(IHZ_HAZ_DGCLASSIFI,205,1)&lt;&gt;"",INDEX(IHZ_HAZ_TEXTUALREF,205,1)&lt;&gt;"",INDEX(IHZ_HAZ_TOTAMOUNT,205,1)&lt;&gt;""))</f>
        <v>1</v>
      </c>
      <c r="H212" t="str">
        <f t="shared" si="6"/>
        <v>Row 205 - All mandatory fields must be given</v>
      </c>
      <c r="J212" t="b">
        <f>IF(OR(INDEX(OHZ_HAZ_CONSIGNMENT,205,1)="",AND(INDEX(OHZ_HAZ_DPGREF,205,1)&lt;&gt;"",INDEX(OHZ_HAZ_CONSIGNMENT,205,1)=INDEX(OHZ_HAZ_CONSIGNMENT,204,1),INDEX(OHZ_HAZ_DPGREF,205,1)=INDEX(OHZ_HAZ_DPGREF,204,1))),TRUE,AND(INDEX(OHZ_HAZ_DGCLASSIFI,205,1)&lt;&gt;"",INDEX(OHZ_HAZ_TEXTUALREF,205,1)&lt;&gt;"",INDEX(OHZ_HAZ_TOTAMOUNT,205,1)&lt;&gt;""))</f>
        <v>1</v>
      </c>
      <c r="K212" t="str">
        <f t="shared" si="7"/>
        <v>Row 205 - All mandatory fields must be given</v>
      </c>
      <c r="L212" t="s">
        <v>1391</v>
      </c>
      <c r="T212" t="s">
        <v>1813</v>
      </c>
    </row>
    <row r="213" spans="6:20" x14ac:dyDescent="0.25">
      <c r="F213" t="s">
        <v>1391</v>
      </c>
      <c r="G213" t="b">
        <f>IF(OR(INDEX(IHZ_HAZ_CONSIGNMENT,206,1)="",AND(INDEX(IHZ_HAZ_DPGREF,206,1)&lt;&gt;"",INDEX(IHZ_HAZ_CONSIGNMENT,206,1)=INDEX(IHZ_HAZ_CONSIGNMENT,205,1),INDEX(IHZ_HAZ_DPGREF,206,1)=INDEX(IHZ_HAZ_DPGREF,205,1))),TRUE,AND(INDEX(IHZ_HAZ_DGCLASSIFI,206,1)&lt;&gt;"",INDEX(IHZ_HAZ_TEXTUALREF,206,1)&lt;&gt;"",INDEX(IHZ_HAZ_TOTAMOUNT,206,1)&lt;&gt;""))</f>
        <v>1</v>
      </c>
      <c r="H213" t="str">
        <f t="shared" si="6"/>
        <v>Row 206 - All mandatory fields must be given</v>
      </c>
      <c r="J213" t="b">
        <f>IF(OR(INDEX(OHZ_HAZ_CONSIGNMENT,206,1)="",AND(INDEX(OHZ_HAZ_DPGREF,206,1)&lt;&gt;"",INDEX(OHZ_HAZ_CONSIGNMENT,206,1)=INDEX(OHZ_HAZ_CONSIGNMENT,205,1),INDEX(OHZ_HAZ_DPGREF,206,1)=INDEX(OHZ_HAZ_DPGREF,205,1))),TRUE,AND(INDEX(OHZ_HAZ_DGCLASSIFI,206,1)&lt;&gt;"",INDEX(OHZ_HAZ_TEXTUALREF,206,1)&lt;&gt;"",INDEX(OHZ_HAZ_TOTAMOUNT,206,1)&lt;&gt;""))</f>
        <v>1</v>
      </c>
      <c r="K213" t="str">
        <f t="shared" si="7"/>
        <v>Row 206 - All mandatory fields must be given</v>
      </c>
      <c r="L213" t="s">
        <v>1391</v>
      </c>
      <c r="T213" t="s">
        <v>1814</v>
      </c>
    </row>
    <row r="214" spans="6:20" x14ac:dyDescent="0.25">
      <c r="F214" t="s">
        <v>1391</v>
      </c>
      <c r="G214" t="b">
        <f>IF(OR(INDEX(IHZ_HAZ_CONSIGNMENT,207,1)="",AND(INDEX(IHZ_HAZ_DPGREF,207,1)&lt;&gt;"",INDEX(IHZ_HAZ_CONSIGNMENT,207,1)=INDEX(IHZ_HAZ_CONSIGNMENT,206,1),INDEX(IHZ_HAZ_DPGREF,207,1)=INDEX(IHZ_HAZ_DPGREF,206,1))),TRUE,AND(INDEX(IHZ_HAZ_DGCLASSIFI,207,1)&lt;&gt;"",INDEX(IHZ_HAZ_TEXTUALREF,207,1)&lt;&gt;"",INDEX(IHZ_HAZ_TOTAMOUNT,207,1)&lt;&gt;""))</f>
        <v>1</v>
      </c>
      <c r="H214" t="str">
        <f t="shared" si="6"/>
        <v>Row 207 - All mandatory fields must be given</v>
      </c>
      <c r="J214" t="b">
        <f>IF(OR(INDEX(OHZ_HAZ_CONSIGNMENT,207,1)="",AND(INDEX(OHZ_HAZ_DPGREF,207,1)&lt;&gt;"",INDEX(OHZ_HAZ_CONSIGNMENT,207,1)=INDEX(OHZ_HAZ_CONSIGNMENT,206,1),INDEX(OHZ_HAZ_DPGREF,207,1)=INDEX(OHZ_HAZ_DPGREF,206,1))),TRUE,AND(INDEX(OHZ_HAZ_DGCLASSIFI,207,1)&lt;&gt;"",INDEX(OHZ_HAZ_TEXTUALREF,207,1)&lt;&gt;"",INDEX(OHZ_HAZ_TOTAMOUNT,207,1)&lt;&gt;""))</f>
        <v>1</v>
      </c>
      <c r="K214" t="str">
        <f t="shared" si="7"/>
        <v>Row 207 - All mandatory fields must be given</v>
      </c>
      <c r="L214" t="s">
        <v>1391</v>
      </c>
      <c r="T214" t="s">
        <v>1815</v>
      </c>
    </row>
    <row r="215" spans="6:20" x14ac:dyDescent="0.25">
      <c r="F215" t="s">
        <v>1391</v>
      </c>
      <c r="G215" t="b">
        <f>IF(OR(INDEX(IHZ_HAZ_CONSIGNMENT,208,1)="",AND(INDEX(IHZ_HAZ_DPGREF,208,1)&lt;&gt;"",INDEX(IHZ_HAZ_CONSIGNMENT,208,1)=INDEX(IHZ_HAZ_CONSIGNMENT,207,1),INDEX(IHZ_HAZ_DPGREF,208,1)=INDEX(IHZ_HAZ_DPGREF,207,1))),TRUE,AND(INDEX(IHZ_HAZ_DGCLASSIFI,208,1)&lt;&gt;"",INDEX(IHZ_HAZ_TEXTUALREF,208,1)&lt;&gt;"",INDEX(IHZ_HAZ_TOTAMOUNT,208,1)&lt;&gt;""))</f>
        <v>1</v>
      </c>
      <c r="H215" t="str">
        <f t="shared" si="6"/>
        <v>Row 208 - All mandatory fields must be given</v>
      </c>
      <c r="J215" t="b">
        <f>IF(OR(INDEX(OHZ_HAZ_CONSIGNMENT,208,1)="",AND(INDEX(OHZ_HAZ_DPGREF,208,1)&lt;&gt;"",INDEX(OHZ_HAZ_CONSIGNMENT,208,1)=INDEX(OHZ_HAZ_CONSIGNMENT,207,1),INDEX(OHZ_HAZ_DPGREF,208,1)=INDEX(OHZ_HAZ_DPGREF,207,1))),TRUE,AND(INDEX(OHZ_HAZ_DGCLASSIFI,208,1)&lt;&gt;"",INDEX(OHZ_HAZ_TEXTUALREF,208,1)&lt;&gt;"",INDEX(OHZ_HAZ_TOTAMOUNT,208,1)&lt;&gt;""))</f>
        <v>1</v>
      </c>
      <c r="K215" t="str">
        <f t="shared" si="7"/>
        <v>Row 208 - All mandatory fields must be given</v>
      </c>
      <c r="L215" t="s">
        <v>1391</v>
      </c>
      <c r="T215" t="s">
        <v>1816</v>
      </c>
    </row>
    <row r="216" spans="6:20" x14ac:dyDescent="0.25">
      <c r="F216" t="s">
        <v>1391</v>
      </c>
      <c r="G216" t="b">
        <f>IF(OR(INDEX(IHZ_HAZ_CONSIGNMENT,209,1)="",AND(INDEX(IHZ_HAZ_DPGREF,209,1)&lt;&gt;"",INDEX(IHZ_HAZ_CONSIGNMENT,209,1)=INDEX(IHZ_HAZ_CONSIGNMENT,208,1),INDEX(IHZ_HAZ_DPGREF,209,1)=INDEX(IHZ_HAZ_DPGREF,208,1))),TRUE,AND(INDEX(IHZ_HAZ_DGCLASSIFI,209,1)&lt;&gt;"",INDEX(IHZ_HAZ_TEXTUALREF,209,1)&lt;&gt;"",INDEX(IHZ_HAZ_TOTAMOUNT,209,1)&lt;&gt;""))</f>
        <v>1</v>
      </c>
      <c r="H216" t="str">
        <f t="shared" si="6"/>
        <v>Row 209 - All mandatory fields must be given</v>
      </c>
      <c r="J216" t="b">
        <f>IF(OR(INDEX(OHZ_HAZ_CONSIGNMENT,209,1)="",AND(INDEX(OHZ_HAZ_DPGREF,209,1)&lt;&gt;"",INDEX(OHZ_HAZ_CONSIGNMENT,209,1)=INDEX(OHZ_HAZ_CONSIGNMENT,208,1),INDEX(OHZ_HAZ_DPGREF,209,1)=INDEX(OHZ_HAZ_DPGREF,208,1))),TRUE,AND(INDEX(OHZ_HAZ_DGCLASSIFI,209,1)&lt;&gt;"",INDEX(OHZ_HAZ_TEXTUALREF,209,1)&lt;&gt;"",INDEX(OHZ_HAZ_TOTAMOUNT,209,1)&lt;&gt;""))</f>
        <v>1</v>
      </c>
      <c r="K216" t="str">
        <f t="shared" si="7"/>
        <v>Row 209 - All mandatory fields must be given</v>
      </c>
      <c r="L216" t="s">
        <v>1391</v>
      </c>
      <c r="T216" t="s">
        <v>1817</v>
      </c>
    </row>
    <row r="217" spans="6:20" x14ac:dyDescent="0.25">
      <c r="F217" t="s">
        <v>1391</v>
      </c>
      <c r="G217" t="b">
        <f>IF(OR(INDEX(IHZ_HAZ_CONSIGNMENT,210,1)="",AND(INDEX(IHZ_HAZ_DPGREF,210,1)&lt;&gt;"",INDEX(IHZ_HAZ_CONSIGNMENT,210,1)=INDEX(IHZ_HAZ_CONSIGNMENT,209,1),INDEX(IHZ_HAZ_DPGREF,210,1)=INDEX(IHZ_HAZ_DPGREF,209,1))),TRUE,AND(INDEX(IHZ_HAZ_DGCLASSIFI,210,1)&lt;&gt;"",INDEX(IHZ_HAZ_TEXTUALREF,210,1)&lt;&gt;"",INDEX(IHZ_HAZ_TOTAMOUNT,210,1)&lt;&gt;""))</f>
        <v>1</v>
      </c>
      <c r="H217" t="str">
        <f t="shared" si="6"/>
        <v>Row 210 - All mandatory fields must be given</v>
      </c>
      <c r="J217" t="b">
        <f>IF(OR(INDEX(OHZ_HAZ_CONSIGNMENT,210,1)="",AND(INDEX(OHZ_HAZ_DPGREF,210,1)&lt;&gt;"",INDEX(OHZ_HAZ_CONSIGNMENT,210,1)=INDEX(OHZ_HAZ_CONSIGNMENT,209,1),INDEX(OHZ_HAZ_DPGREF,210,1)=INDEX(OHZ_HAZ_DPGREF,209,1))),TRUE,AND(INDEX(OHZ_HAZ_DGCLASSIFI,210,1)&lt;&gt;"",INDEX(OHZ_HAZ_TEXTUALREF,210,1)&lt;&gt;"",INDEX(OHZ_HAZ_TOTAMOUNT,210,1)&lt;&gt;""))</f>
        <v>1</v>
      </c>
      <c r="K217" t="str">
        <f t="shared" si="7"/>
        <v>Row 210 - All mandatory fields must be given</v>
      </c>
      <c r="L217" t="s">
        <v>1391</v>
      </c>
      <c r="T217" t="s">
        <v>1818</v>
      </c>
    </row>
    <row r="218" spans="6:20" x14ac:dyDescent="0.25">
      <c r="F218" t="s">
        <v>1391</v>
      </c>
      <c r="G218" t="b">
        <f>IF(OR(INDEX(IHZ_HAZ_CONSIGNMENT,211,1)="",AND(INDEX(IHZ_HAZ_DPGREF,211,1)&lt;&gt;"",INDEX(IHZ_HAZ_CONSIGNMENT,211,1)=INDEX(IHZ_HAZ_CONSIGNMENT,210,1),INDEX(IHZ_HAZ_DPGREF,211,1)=INDEX(IHZ_HAZ_DPGREF,210,1))),TRUE,AND(INDEX(IHZ_HAZ_DGCLASSIFI,211,1)&lt;&gt;"",INDEX(IHZ_HAZ_TEXTUALREF,211,1)&lt;&gt;"",INDEX(IHZ_HAZ_TOTAMOUNT,211,1)&lt;&gt;""))</f>
        <v>1</v>
      </c>
      <c r="H218" t="str">
        <f t="shared" si="6"/>
        <v>Row 211 - All mandatory fields must be given</v>
      </c>
      <c r="J218" t="b">
        <f>IF(OR(INDEX(OHZ_HAZ_CONSIGNMENT,211,1)="",AND(INDEX(OHZ_HAZ_DPGREF,211,1)&lt;&gt;"",INDEX(OHZ_HAZ_CONSIGNMENT,211,1)=INDEX(OHZ_HAZ_CONSIGNMENT,210,1),INDEX(OHZ_HAZ_DPGREF,211,1)=INDEX(OHZ_HAZ_DPGREF,210,1))),TRUE,AND(INDEX(OHZ_HAZ_DGCLASSIFI,211,1)&lt;&gt;"",INDEX(OHZ_HAZ_TEXTUALREF,211,1)&lt;&gt;"",INDEX(OHZ_HAZ_TOTAMOUNT,211,1)&lt;&gt;""))</f>
        <v>1</v>
      </c>
      <c r="K218" t="str">
        <f t="shared" si="7"/>
        <v>Row 211 - All mandatory fields must be given</v>
      </c>
      <c r="L218" t="s">
        <v>1391</v>
      </c>
      <c r="T218" t="s">
        <v>1819</v>
      </c>
    </row>
    <row r="219" spans="6:20" x14ac:dyDescent="0.25">
      <c r="F219" t="s">
        <v>1391</v>
      </c>
      <c r="G219" t="b">
        <f>IF(OR(INDEX(IHZ_HAZ_CONSIGNMENT,212,1)="",AND(INDEX(IHZ_HAZ_DPGREF,212,1)&lt;&gt;"",INDEX(IHZ_HAZ_CONSIGNMENT,212,1)=INDEX(IHZ_HAZ_CONSIGNMENT,211,1),INDEX(IHZ_HAZ_DPGREF,212,1)=INDEX(IHZ_HAZ_DPGREF,211,1))),TRUE,AND(INDEX(IHZ_HAZ_DGCLASSIFI,212,1)&lt;&gt;"",INDEX(IHZ_HAZ_TEXTUALREF,212,1)&lt;&gt;"",INDEX(IHZ_HAZ_TOTAMOUNT,212,1)&lt;&gt;""))</f>
        <v>1</v>
      </c>
      <c r="H219" t="str">
        <f t="shared" si="6"/>
        <v>Row 212 - All mandatory fields must be given</v>
      </c>
      <c r="J219" t="b">
        <f>IF(OR(INDEX(OHZ_HAZ_CONSIGNMENT,212,1)="",AND(INDEX(OHZ_HAZ_DPGREF,212,1)&lt;&gt;"",INDEX(OHZ_HAZ_CONSIGNMENT,212,1)=INDEX(OHZ_HAZ_CONSIGNMENT,211,1),INDEX(OHZ_HAZ_DPGREF,212,1)=INDEX(OHZ_HAZ_DPGREF,211,1))),TRUE,AND(INDEX(OHZ_HAZ_DGCLASSIFI,212,1)&lt;&gt;"",INDEX(OHZ_HAZ_TEXTUALREF,212,1)&lt;&gt;"",INDEX(OHZ_HAZ_TOTAMOUNT,212,1)&lt;&gt;""))</f>
        <v>1</v>
      </c>
      <c r="K219" t="str">
        <f t="shared" si="7"/>
        <v>Row 212 - All mandatory fields must be given</v>
      </c>
      <c r="L219" t="s">
        <v>1391</v>
      </c>
      <c r="T219" t="s">
        <v>1820</v>
      </c>
    </row>
    <row r="220" spans="6:20" x14ac:dyDescent="0.25">
      <c r="F220" t="s">
        <v>1391</v>
      </c>
      <c r="G220" t="b">
        <f>IF(OR(INDEX(IHZ_HAZ_CONSIGNMENT,213,1)="",AND(INDEX(IHZ_HAZ_DPGREF,213,1)&lt;&gt;"",INDEX(IHZ_HAZ_CONSIGNMENT,213,1)=INDEX(IHZ_HAZ_CONSIGNMENT,212,1),INDEX(IHZ_HAZ_DPGREF,213,1)=INDEX(IHZ_HAZ_DPGREF,212,1))),TRUE,AND(INDEX(IHZ_HAZ_DGCLASSIFI,213,1)&lt;&gt;"",INDEX(IHZ_HAZ_TEXTUALREF,213,1)&lt;&gt;"",INDEX(IHZ_HAZ_TOTAMOUNT,213,1)&lt;&gt;""))</f>
        <v>1</v>
      </c>
      <c r="H220" t="str">
        <f t="shared" si="6"/>
        <v>Row 213 - All mandatory fields must be given</v>
      </c>
      <c r="J220" t="b">
        <f>IF(OR(INDEX(OHZ_HAZ_CONSIGNMENT,213,1)="",AND(INDEX(OHZ_HAZ_DPGREF,213,1)&lt;&gt;"",INDEX(OHZ_HAZ_CONSIGNMENT,213,1)=INDEX(OHZ_HAZ_CONSIGNMENT,212,1),INDEX(OHZ_HAZ_DPGREF,213,1)=INDEX(OHZ_HAZ_DPGREF,212,1))),TRUE,AND(INDEX(OHZ_HAZ_DGCLASSIFI,213,1)&lt;&gt;"",INDEX(OHZ_HAZ_TEXTUALREF,213,1)&lt;&gt;"",INDEX(OHZ_HAZ_TOTAMOUNT,213,1)&lt;&gt;""))</f>
        <v>1</v>
      </c>
      <c r="K220" t="str">
        <f t="shared" si="7"/>
        <v>Row 213 - All mandatory fields must be given</v>
      </c>
      <c r="L220" t="s">
        <v>1391</v>
      </c>
      <c r="T220" t="s">
        <v>1821</v>
      </c>
    </row>
    <row r="221" spans="6:20" x14ac:dyDescent="0.25">
      <c r="F221" t="s">
        <v>1391</v>
      </c>
      <c r="G221" t="b">
        <f>IF(OR(INDEX(IHZ_HAZ_CONSIGNMENT,214,1)="",AND(INDEX(IHZ_HAZ_DPGREF,214,1)&lt;&gt;"",INDEX(IHZ_HAZ_CONSIGNMENT,214,1)=INDEX(IHZ_HAZ_CONSIGNMENT,213,1),INDEX(IHZ_HAZ_DPGREF,214,1)=INDEX(IHZ_HAZ_DPGREF,213,1))),TRUE,AND(INDEX(IHZ_HAZ_DGCLASSIFI,214,1)&lt;&gt;"",INDEX(IHZ_HAZ_TEXTUALREF,214,1)&lt;&gt;"",INDEX(IHZ_HAZ_TOTAMOUNT,214,1)&lt;&gt;""))</f>
        <v>1</v>
      </c>
      <c r="H221" t="str">
        <f t="shared" si="6"/>
        <v>Row 214 - All mandatory fields must be given</v>
      </c>
      <c r="J221" t="b">
        <f>IF(OR(INDEX(OHZ_HAZ_CONSIGNMENT,214,1)="",AND(INDEX(OHZ_HAZ_DPGREF,214,1)&lt;&gt;"",INDEX(OHZ_HAZ_CONSIGNMENT,214,1)=INDEX(OHZ_HAZ_CONSIGNMENT,213,1),INDEX(OHZ_HAZ_DPGREF,214,1)=INDEX(OHZ_HAZ_DPGREF,213,1))),TRUE,AND(INDEX(OHZ_HAZ_DGCLASSIFI,214,1)&lt;&gt;"",INDEX(OHZ_HAZ_TEXTUALREF,214,1)&lt;&gt;"",INDEX(OHZ_HAZ_TOTAMOUNT,214,1)&lt;&gt;""))</f>
        <v>1</v>
      </c>
      <c r="K221" t="str">
        <f t="shared" si="7"/>
        <v>Row 214 - All mandatory fields must be given</v>
      </c>
      <c r="L221" t="s">
        <v>1391</v>
      </c>
      <c r="T221" t="s">
        <v>1822</v>
      </c>
    </row>
    <row r="222" spans="6:20" x14ac:dyDescent="0.25">
      <c r="F222" t="s">
        <v>1391</v>
      </c>
      <c r="G222" t="b">
        <f>IF(OR(INDEX(IHZ_HAZ_CONSIGNMENT,215,1)="",AND(INDEX(IHZ_HAZ_DPGREF,215,1)&lt;&gt;"",INDEX(IHZ_HAZ_CONSIGNMENT,215,1)=INDEX(IHZ_HAZ_CONSIGNMENT,214,1),INDEX(IHZ_HAZ_DPGREF,215,1)=INDEX(IHZ_HAZ_DPGREF,214,1))),TRUE,AND(INDEX(IHZ_HAZ_DGCLASSIFI,215,1)&lt;&gt;"",INDEX(IHZ_HAZ_TEXTUALREF,215,1)&lt;&gt;"",INDEX(IHZ_HAZ_TOTAMOUNT,215,1)&lt;&gt;""))</f>
        <v>1</v>
      </c>
      <c r="H222" t="str">
        <f t="shared" si="6"/>
        <v>Row 215 - All mandatory fields must be given</v>
      </c>
      <c r="J222" t="b">
        <f>IF(OR(INDEX(OHZ_HAZ_CONSIGNMENT,215,1)="",AND(INDEX(OHZ_HAZ_DPGREF,215,1)&lt;&gt;"",INDEX(OHZ_HAZ_CONSIGNMENT,215,1)=INDEX(OHZ_HAZ_CONSIGNMENT,214,1),INDEX(OHZ_HAZ_DPGREF,215,1)=INDEX(OHZ_HAZ_DPGREF,214,1))),TRUE,AND(INDEX(OHZ_HAZ_DGCLASSIFI,215,1)&lt;&gt;"",INDEX(OHZ_HAZ_TEXTUALREF,215,1)&lt;&gt;"",INDEX(OHZ_HAZ_TOTAMOUNT,215,1)&lt;&gt;""))</f>
        <v>1</v>
      </c>
      <c r="K222" t="str">
        <f t="shared" si="7"/>
        <v>Row 215 - All mandatory fields must be given</v>
      </c>
      <c r="L222" t="s">
        <v>1391</v>
      </c>
      <c r="T222" t="s">
        <v>1823</v>
      </c>
    </row>
    <row r="223" spans="6:20" x14ac:dyDescent="0.25">
      <c r="F223" t="s">
        <v>1391</v>
      </c>
      <c r="G223" t="b">
        <f>IF(OR(INDEX(IHZ_HAZ_CONSIGNMENT,216,1)="",AND(INDEX(IHZ_HAZ_DPGREF,216,1)&lt;&gt;"",INDEX(IHZ_HAZ_CONSIGNMENT,216,1)=INDEX(IHZ_HAZ_CONSIGNMENT,215,1),INDEX(IHZ_HAZ_DPGREF,216,1)=INDEX(IHZ_HAZ_DPGREF,215,1))),TRUE,AND(INDEX(IHZ_HAZ_DGCLASSIFI,216,1)&lt;&gt;"",INDEX(IHZ_HAZ_TEXTUALREF,216,1)&lt;&gt;"",INDEX(IHZ_HAZ_TOTAMOUNT,216,1)&lt;&gt;""))</f>
        <v>1</v>
      </c>
      <c r="H223" t="str">
        <f t="shared" si="6"/>
        <v>Row 216 - All mandatory fields must be given</v>
      </c>
      <c r="J223" t="b">
        <f>IF(OR(INDEX(OHZ_HAZ_CONSIGNMENT,216,1)="",AND(INDEX(OHZ_HAZ_DPGREF,216,1)&lt;&gt;"",INDEX(OHZ_HAZ_CONSIGNMENT,216,1)=INDEX(OHZ_HAZ_CONSIGNMENT,215,1),INDEX(OHZ_HAZ_DPGREF,216,1)=INDEX(OHZ_HAZ_DPGREF,215,1))),TRUE,AND(INDEX(OHZ_HAZ_DGCLASSIFI,216,1)&lt;&gt;"",INDEX(OHZ_HAZ_TEXTUALREF,216,1)&lt;&gt;"",INDEX(OHZ_HAZ_TOTAMOUNT,216,1)&lt;&gt;""))</f>
        <v>1</v>
      </c>
      <c r="K223" t="str">
        <f t="shared" si="7"/>
        <v>Row 216 - All mandatory fields must be given</v>
      </c>
      <c r="L223" t="s">
        <v>1391</v>
      </c>
      <c r="T223" t="s">
        <v>1824</v>
      </c>
    </row>
    <row r="224" spans="6:20" x14ac:dyDescent="0.25">
      <c r="F224" t="s">
        <v>1391</v>
      </c>
      <c r="G224" t="b">
        <f>IF(OR(INDEX(IHZ_HAZ_CONSIGNMENT,217,1)="",AND(INDEX(IHZ_HAZ_DPGREF,217,1)&lt;&gt;"",INDEX(IHZ_HAZ_CONSIGNMENT,217,1)=INDEX(IHZ_HAZ_CONSIGNMENT,216,1),INDEX(IHZ_HAZ_DPGREF,217,1)=INDEX(IHZ_HAZ_DPGREF,216,1))),TRUE,AND(INDEX(IHZ_HAZ_DGCLASSIFI,217,1)&lt;&gt;"",INDEX(IHZ_HAZ_TEXTUALREF,217,1)&lt;&gt;"",INDEX(IHZ_HAZ_TOTAMOUNT,217,1)&lt;&gt;""))</f>
        <v>1</v>
      </c>
      <c r="H224" t="str">
        <f t="shared" si="6"/>
        <v>Row 217 - All mandatory fields must be given</v>
      </c>
      <c r="J224" t="b">
        <f>IF(OR(INDEX(OHZ_HAZ_CONSIGNMENT,217,1)="",AND(INDEX(OHZ_HAZ_DPGREF,217,1)&lt;&gt;"",INDEX(OHZ_HAZ_CONSIGNMENT,217,1)=INDEX(OHZ_HAZ_CONSIGNMENT,216,1),INDEX(OHZ_HAZ_DPGREF,217,1)=INDEX(OHZ_HAZ_DPGREF,216,1))),TRUE,AND(INDEX(OHZ_HAZ_DGCLASSIFI,217,1)&lt;&gt;"",INDEX(OHZ_HAZ_TEXTUALREF,217,1)&lt;&gt;"",INDEX(OHZ_HAZ_TOTAMOUNT,217,1)&lt;&gt;""))</f>
        <v>1</v>
      </c>
      <c r="K224" t="str">
        <f t="shared" si="7"/>
        <v>Row 217 - All mandatory fields must be given</v>
      </c>
      <c r="L224" t="s">
        <v>1391</v>
      </c>
      <c r="T224" t="s">
        <v>1825</v>
      </c>
    </row>
    <row r="225" spans="6:20" x14ac:dyDescent="0.25">
      <c r="F225" t="s">
        <v>1391</v>
      </c>
      <c r="G225" t="b">
        <f>IF(OR(INDEX(IHZ_HAZ_CONSIGNMENT,218,1)="",AND(INDEX(IHZ_HAZ_DPGREF,218,1)&lt;&gt;"",INDEX(IHZ_HAZ_CONSIGNMENT,218,1)=INDEX(IHZ_HAZ_CONSIGNMENT,217,1),INDEX(IHZ_HAZ_DPGREF,218,1)=INDEX(IHZ_HAZ_DPGREF,217,1))),TRUE,AND(INDEX(IHZ_HAZ_DGCLASSIFI,218,1)&lt;&gt;"",INDEX(IHZ_HAZ_TEXTUALREF,218,1)&lt;&gt;"",INDEX(IHZ_HAZ_TOTAMOUNT,218,1)&lt;&gt;""))</f>
        <v>1</v>
      </c>
      <c r="H225" t="str">
        <f t="shared" si="6"/>
        <v>Row 218 - All mandatory fields must be given</v>
      </c>
      <c r="J225" t="b">
        <f>IF(OR(INDEX(OHZ_HAZ_CONSIGNMENT,218,1)="",AND(INDEX(OHZ_HAZ_DPGREF,218,1)&lt;&gt;"",INDEX(OHZ_HAZ_CONSIGNMENT,218,1)=INDEX(OHZ_HAZ_CONSIGNMENT,217,1),INDEX(OHZ_HAZ_DPGREF,218,1)=INDEX(OHZ_HAZ_DPGREF,217,1))),TRUE,AND(INDEX(OHZ_HAZ_DGCLASSIFI,218,1)&lt;&gt;"",INDEX(OHZ_HAZ_TEXTUALREF,218,1)&lt;&gt;"",INDEX(OHZ_HAZ_TOTAMOUNT,218,1)&lt;&gt;""))</f>
        <v>1</v>
      </c>
      <c r="K225" t="str">
        <f t="shared" si="7"/>
        <v>Row 218 - All mandatory fields must be given</v>
      </c>
      <c r="L225" t="s">
        <v>1391</v>
      </c>
      <c r="T225" t="s">
        <v>1826</v>
      </c>
    </row>
    <row r="226" spans="6:20" x14ac:dyDescent="0.25">
      <c r="F226" t="s">
        <v>1391</v>
      </c>
      <c r="G226" t="b">
        <f>IF(OR(INDEX(IHZ_HAZ_CONSIGNMENT,219,1)="",AND(INDEX(IHZ_HAZ_DPGREF,219,1)&lt;&gt;"",INDEX(IHZ_HAZ_CONSIGNMENT,219,1)=INDEX(IHZ_HAZ_CONSIGNMENT,218,1),INDEX(IHZ_HAZ_DPGREF,219,1)=INDEX(IHZ_HAZ_DPGREF,218,1))),TRUE,AND(INDEX(IHZ_HAZ_DGCLASSIFI,219,1)&lt;&gt;"",INDEX(IHZ_HAZ_TEXTUALREF,219,1)&lt;&gt;"",INDEX(IHZ_HAZ_TOTAMOUNT,219,1)&lt;&gt;""))</f>
        <v>1</v>
      </c>
      <c r="H226" t="str">
        <f t="shared" si="6"/>
        <v>Row 219 - All mandatory fields must be given</v>
      </c>
      <c r="J226" t="b">
        <f>IF(OR(INDEX(OHZ_HAZ_CONSIGNMENT,219,1)="",AND(INDEX(OHZ_HAZ_DPGREF,219,1)&lt;&gt;"",INDEX(OHZ_HAZ_CONSIGNMENT,219,1)=INDEX(OHZ_HAZ_CONSIGNMENT,218,1),INDEX(OHZ_HAZ_DPGREF,219,1)=INDEX(OHZ_HAZ_DPGREF,218,1))),TRUE,AND(INDEX(OHZ_HAZ_DGCLASSIFI,219,1)&lt;&gt;"",INDEX(OHZ_HAZ_TEXTUALREF,219,1)&lt;&gt;"",INDEX(OHZ_HAZ_TOTAMOUNT,219,1)&lt;&gt;""))</f>
        <v>1</v>
      </c>
      <c r="K226" t="str">
        <f t="shared" si="7"/>
        <v>Row 219 - All mandatory fields must be given</v>
      </c>
      <c r="L226" t="s">
        <v>1391</v>
      </c>
      <c r="T226" t="s">
        <v>1827</v>
      </c>
    </row>
    <row r="227" spans="6:20" x14ac:dyDescent="0.25">
      <c r="F227" t="s">
        <v>1391</v>
      </c>
      <c r="G227" t="b">
        <f>IF(OR(INDEX(IHZ_HAZ_CONSIGNMENT,220,1)="",AND(INDEX(IHZ_HAZ_DPGREF,220,1)&lt;&gt;"",INDEX(IHZ_HAZ_CONSIGNMENT,220,1)=INDEX(IHZ_HAZ_CONSIGNMENT,219,1),INDEX(IHZ_HAZ_DPGREF,220,1)=INDEX(IHZ_HAZ_DPGREF,219,1))),TRUE,AND(INDEX(IHZ_HAZ_DGCLASSIFI,220,1)&lt;&gt;"",INDEX(IHZ_HAZ_TEXTUALREF,220,1)&lt;&gt;"",INDEX(IHZ_HAZ_TOTAMOUNT,220,1)&lt;&gt;""))</f>
        <v>1</v>
      </c>
      <c r="H227" t="str">
        <f t="shared" si="6"/>
        <v>Row 220 - All mandatory fields must be given</v>
      </c>
      <c r="J227" t="b">
        <f>IF(OR(INDEX(OHZ_HAZ_CONSIGNMENT,220,1)="",AND(INDEX(OHZ_HAZ_DPGREF,220,1)&lt;&gt;"",INDEX(OHZ_HAZ_CONSIGNMENT,220,1)=INDEX(OHZ_HAZ_CONSIGNMENT,219,1),INDEX(OHZ_HAZ_DPGREF,220,1)=INDEX(OHZ_HAZ_DPGREF,219,1))),TRUE,AND(INDEX(OHZ_HAZ_DGCLASSIFI,220,1)&lt;&gt;"",INDEX(OHZ_HAZ_TEXTUALREF,220,1)&lt;&gt;"",INDEX(OHZ_HAZ_TOTAMOUNT,220,1)&lt;&gt;""))</f>
        <v>1</v>
      </c>
      <c r="K227" t="str">
        <f t="shared" si="7"/>
        <v>Row 220 - All mandatory fields must be given</v>
      </c>
      <c r="L227" t="s">
        <v>1391</v>
      </c>
      <c r="T227" t="s">
        <v>1828</v>
      </c>
    </row>
    <row r="228" spans="6:20" x14ac:dyDescent="0.25">
      <c r="F228" t="s">
        <v>1391</v>
      </c>
      <c r="G228" t="b">
        <f>IF(OR(INDEX(IHZ_HAZ_CONSIGNMENT,221,1)="",AND(INDEX(IHZ_HAZ_DPGREF,221,1)&lt;&gt;"",INDEX(IHZ_HAZ_CONSIGNMENT,221,1)=INDEX(IHZ_HAZ_CONSIGNMENT,220,1),INDEX(IHZ_HAZ_DPGREF,221,1)=INDEX(IHZ_HAZ_DPGREF,220,1))),TRUE,AND(INDEX(IHZ_HAZ_DGCLASSIFI,221,1)&lt;&gt;"",INDEX(IHZ_HAZ_TEXTUALREF,221,1)&lt;&gt;"",INDEX(IHZ_HAZ_TOTAMOUNT,221,1)&lt;&gt;""))</f>
        <v>1</v>
      </c>
      <c r="H228" t="str">
        <f t="shared" si="6"/>
        <v>Row 221 - All mandatory fields must be given</v>
      </c>
      <c r="J228" t="b">
        <f>IF(OR(INDEX(OHZ_HAZ_CONSIGNMENT,221,1)="",AND(INDEX(OHZ_HAZ_DPGREF,221,1)&lt;&gt;"",INDEX(OHZ_HAZ_CONSIGNMENT,221,1)=INDEX(OHZ_HAZ_CONSIGNMENT,220,1),INDEX(OHZ_HAZ_DPGREF,221,1)=INDEX(OHZ_HAZ_DPGREF,220,1))),TRUE,AND(INDEX(OHZ_HAZ_DGCLASSIFI,221,1)&lt;&gt;"",INDEX(OHZ_HAZ_TEXTUALREF,221,1)&lt;&gt;"",INDEX(OHZ_HAZ_TOTAMOUNT,221,1)&lt;&gt;""))</f>
        <v>1</v>
      </c>
      <c r="K228" t="str">
        <f t="shared" si="7"/>
        <v>Row 221 - All mandatory fields must be given</v>
      </c>
      <c r="L228" t="s">
        <v>1391</v>
      </c>
      <c r="T228" t="s">
        <v>1829</v>
      </c>
    </row>
    <row r="229" spans="6:20" x14ac:dyDescent="0.25">
      <c r="F229" t="s">
        <v>1391</v>
      </c>
      <c r="G229" t="b">
        <f>IF(OR(INDEX(IHZ_HAZ_CONSIGNMENT,222,1)="",AND(INDEX(IHZ_HAZ_DPGREF,222,1)&lt;&gt;"",INDEX(IHZ_HAZ_CONSIGNMENT,222,1)=INDEX(IHZ_HAZ_CONSIGNMENT,221,1),INDEX(IHZ_HAZ_DPGREF,222,1)=INDEX(IHZ_HAZ_DPGREF,221,1))),TRUE,AND(INDEX(IHZ_HAZ_DGCLASSIFI,222,1)&lt;&gt;"",INDEX(IHZ_HAZ_TEXTUALREF,222,1)&lt;&gt;"",INDEX(IHZ_HAZ_TOTAMOUNT,222,1)&lt;&gt;""))</f>
        <v>1</v>
      </c>
      <c r="H229" t="str">
        <f t="shared" si="6"/>
        <v>Row 222 - All mandatory fields must be given</v>
      </c>
      <c r="J229" t="b">
        <f>IF(OR(INDEX(OHZ_HAZ_CONSIGNMENT,222,1)="",AND(INDEX(OHZ_HAZ_DPGREF,222,1)&lt;&gt;"",INDEX(OHZ_HAZ_CONSIGNMENT,222,1)=INDEX(OHZ_HAZ_CONSIGNMENT,221,1),INDEX(OHZ_HAZ_DPGREF,222,1)=INDEX(OHZ_HAZ_DPGREF,221,1))),TRUE,AND(INDEX(OHZ_HAZ_DGCLASSIFI,222,1)&lt;&gt;"",INDEX(OHZ_HAZ_TEXTUALREF,222,1)&lt;&gt;"",INDEX(OHZ_HAZ_TOTAMOUNT,222,1)&lt;&gt;""))</f>
        <v>1</v>
      </c>
      <c r="K229" t="str">
        <f t="shared" si="7"/>
        <v>Row 222 - All mandatory fields must be given</v>
      </c>
      <c r="L229" t="s">
        <v>1391</v>
      </c>
      <c r="T229" t="s">
        <v>1830</v>
      </c>
    </row>
    <row r="230" spans="6:20" x14ac:dyDescent="0.25">
      <c r="F230" t="s">
        <v>1391</v>
      </c>
      <c r="G230" t="b">
        <f>IF(OR(INDEX(IHZ_HAZ_CONSIGNMENT,223,1)="",AND(INDEX(IHZ_HAZ_DPGREF,223,1)&lt;&gt;"",INDEX(IHZ_HAZ_CONSIGNMENT,223,1)=INDEX(IHZ_HAZ_CONSIGNMENT,222,1),INDEX(IHZ_HAZ_DPGREF,223,1)=INDEX(IHZ_HAZ_DPGREF,222,1))),TRUE,AND(INDEX(IHZ_HAZ_DGCLASSIFI,223,1)&lt;&gt;"",INDEX(IHZ_HAZ_TEXTUALREF,223,1)&lt;&gt;"",INDEX(IHZ_HAZ_TOTAMOUNT,223,1)&lt;&gt;""))</f>
        <v>1</v>
      </c>
      <c r="H230" t="str">
        <f t="shared" si="6"/>
        <v>Row 223 - All mandatory fields must be given</v>
      </c>
      <c r="J230" t="b">
        <f>IF(OR(INDEX(OHZ_HAZ_CONSIGNMENT,223,1)="",AND(INDEX(OHZ_HAZ_DPGREF,223,1)&lt;&gt;"",INDEX(OHZ_HAZ_CONSIGNMENT,223,1)=INDEX(OHZ_HAZ_CONSIGNMENT,222,1),INDEX(OHZ_HAZ_DPGREF,223,1)=INDEX(OHZ_HAZ_DPGREF,222,1))),TRUE,AND(INDEX(OHZ_HAZ_DGCLASSIFI,223,1)&lt;&gt;"",INDEX(OHZ_HAZ_TEXTUALREF,223,1)&lt;&gt;"",INDEX(OHZ_HAZ_TOTAMOUNT,223,1)&lt;&gt;""))</f>
        <v>1</v>
      </c>
      <c r="K230" t="str">
        <f t="shared" si="7"/>
        <v>Row 223 - All mandatory fields must be given</v>
      </c>
      <c r="L230" t="s">
        <v>1391</v>
      </c>
      <c r="T230" t="s">
        <v>1831</v>
      </c>
    </row>
    <row r="231" spans="6:20" x14ac:dyDescent="0.25">
      <c r="F231" t="s">
        <v>1391</v>
      </c>
      <c r="G231" t="b">
        <f>IF(OR(INDEX(IHZ_HAZ_CONSIGNMENT,224,1)="",AND(INDEX(IHZ_HAZ_DPGREF,224,1)&lt;&gt;"",INDEX(IHZ_HAZ_CONSIGNMENT,224,1)=INDEX(IHZ_HAZ_CONSIGNMENT,223,1),INDEX(IHZ_HAZ_DPGREF,224,1)=INDEX(IHZ_HAZ_DPGREF,223,1))),TRUE,AND(INDEX(IHZ_HAZ_DGCLASSIFI,224,1)&lt;&gt;"",INDEX(IHZ_HAZ_TEXTUALREF,224,1)&lt;&gt;"",INDEX(IHZ_HAZ_TOTAMOUNT,224,1)&lt;&gt;""))</f>
        <v>1</v>
      </c>
      <c r="H231" t="str">
        <f t="shared" si="6"/>
        <v>Row 224 - All mandatory fields must be given</v>
      </c>
      <c r="J231" t="b">
        <f>IF(OR(INDEX(OHZ_HAZ_CONSIGNMENT,224,1)="",AND(INDEX(OHZ_HAZ_DPGREF,224,1)&lt;&gt;"",INDEX(OHZ_HAZ_CONSIGNMENT,224,1)=INDEX(OHZ_HAZ_CONSIGNMENT,223,1),INDEX(OHZ_HAZ_DPGREF,224,1)=INDEX(OHZ_HAZ_DPGREF,223,1))),TRUE,AND(INDEX(OHZ_HAZ_DGCLASSIFI,224,1)&lt;&gt;"",INDEX(OHZ_HAZ_TEXTUALREF,224,1)&lt;&gt;"",INDEX(OHZ_HAZ_TOTAMOUNT,224,1)&lt;&gt;""))</f>
        <v>1</v>
      </c>
      <c r="K231" t="str">
        <f t="shared" si="7"/>
        <v>Row 224 - All mandatory fields must be given</v>
      </c>
      <c r="L231" t="s">
        <v>1391</v>
      </c>
      <c r="T231" t="s">
        <v>1832</v>
      </c>
    </row>
    <row r="232" spans="6:20" x14ac:dyDescent="0.25">
      <c r="F232" t="s">
        <v>1391</v>
      </c>
      <c r="G232" t="b">
        <f>IF(OR(INDEX(IHZ_HAZ_CONSIGNMENT,225,1)="",AND(INDEX(IHZ_HAZ_DPGREF,225,1)&lt;&gt;"",INDEX(IHZ_HAZ_CONSIGNMENT,225,1)=INDEX(IHZ_HAZ_CONSIGNMENT,224,1),INDEX(IHZ_HAZ_DPGREF,225,1)=INDEX(IHZ_HAZ_DPGREF,224,1))),TRUE,AND(INDEX(IHZ_HAZ_DGCLASSIFI,225,1)&lt;&gt;"",INDEX(IHZ_HAZ_TEXTUALREF,225,1)&lt;&gt;"",INDEX(IHZ_HAZ_TOTAMOUNT,225,1)&lt;&gt;""))</f>
        <v>1</v>
      </c>
      <c r="H232" t="str">
        <f t="shared" si="6"/>
        <v>Row 225 - All mandatory fields must be given</v>
      </c>
      <c r="J232" t="b">
        <f>IF(OR(INDEX(OHZ_HAZ_CONSIGNMENT,225,1)="",AND(INDEX(OHZ_HAZ_DPGREF,225,1)&lt;&gt;"",INDEX(OHZ_HAZ_CONSIGNMENT,225,1)=INDEX(OHZ_HAZ_CONSIGNMENT,224,1),INDEX(OHZ_HAZ_DPGREF,225,1)=INDEX(OHZ_HAZ_DPGREF,224,1))),TRUE,AND(INDEX(OHZ_HAZ_DGCLASSIFI,225,1)&lt;&gt;"",INDEX(OHZ_HAZ_TEXTUALREF,225,1)&lt;&gt;"",INDEX(OHZ_HAZ_TOTAMOUNT,225,1)&lt;&gt;""))</f>
        <v>1</v>
      </c>
      <c r="K232" t="str">
        <f t="shared" si="7"/>
        <v>Row 225 - All mandatory fields must be given</v>
      </c>
      <c r="L232" t="s">
        <v>1391</v>
      </c>
      <c r="T232" t="s">
        <v>1833</v>
      </c>
    </row>
    <row r="233" spans="6:20" x14ac:dyDescent="0.25">
      <c r="F233" t="s">
        <v>1391</v>
      </c>
      <c r="G233" t="b">
        <f>IF(OR(INDEX(IHZ_HAZ_CONSIGNMENT,226,1)="",AND(INDEX(IHZ_HAZ_DPGREF,226,1)&lt;&gt;"",INDEX(IHZ_HAZ_CONSIGNMENT,226,1)=INDEX(IHZ_HAZ_CONSIGNMENT,225,1),INDEX(IHZ_HAZ_DPGREF,226,1)=INDEX(IHZ_HAZ_DPGREF,225,1))),TRUE,AND(INDEX(IHZ_HAZ_DGCLASSIFI,226,1)&lt;&gt;"",INDEX(IHZ_HAZ_TEXTUALREF,226,1)&lt;&gt;"",INDEX(IHZ_HAZ_TOTAMOUNT,226,1)&lt;&gt;""))</f>
        <v>1</v>
      </c>
      <c r="H233" t="str">
        <f t="shared" si="6"/>
        <v>Row 226 - All mandatory fields must be given</v>
      </c>
      <c r="J233" t="b">
        <f>IF(OR(INDEX(OHZ_HAZ_CONSIGNMENT,226,1)="",AND(INDEX(OHZ_HAZ_DPGREF,226,1)&lt;&gt;"",INDEX(OHZ_HAZ_CONSIGNMENT,226,1)=INDEX(OHZ_HAZ_CONSIGNMENT,225,1),INDEX(OHZ_HAZ_DPGREF,226,1)=INDEX(OHZ_HAZ_DPGREF,225,1))),TRUE,AND(INDEX(OHZ_HAZ_DGCLASSIFI,226,1)&lt;&gt;"",INDEX(OHZ_HAZ_TEXTUALREF,226,1)&lt;&gt;"",INDEX(OHZ_HAZ_TOTAMOUNT,226,1)&lt;&gt;""))</f>
        <v>1</v>
      </c>
      <c r="K233" t="str">
        <f t="shared" si="7"/>
        <v>Row 226 - All mandatory fields must be given</v>
      </c>
      <c r="L233" t="s">
        <v>1391</v>
      </c>
      <c r="T233" t="s">
        <v>1834</v>
      </c>
    </row>
    <row r="234" spans="6:20" x14ac:dyDescent="0.25">
      <c r="F234" t="s">
        <v>1391</v>
      </c>
      <c r="G234" t="b">
        <f>IF(OR(INDEX(IHZ_HAZ_CONSIGNMENT,227,1)="",AND(INDEX(IHZ_HAZ_DPGREF,227,1)&lt;&gt;"",INDEX(IHZ_HAZ_CONSIGNMENT,227,1)=INDEX(IHZ_HAZ_CONSIGNMENT,226,1),INDEX(IHZ_HAZ_DPGREF,227,1)=INDEX(IHZ_HAZ_DPGREF,226,1))),TRUE,AND(INDEX(IHZ_HAZ_DGCLASSIFI,227,1)&lt;&gt;"",INDEX(IHZ_HAZ_TEXTUALREF,227,1)&lt;&gt;"",INDEX(IHZ_HAZ_TOTAMOUNT,227,1)&lt;&gt;""))</f>
        <v>1</v>
      </c>
      <c r="H234" t="str">
        <f t="shared" si="6"/>
        <v>Row 227 - All mandatory fields must be given</v>
      </c>
      <c r="J234" t="b">
        <f>IF(OR(INDEX(OHZ_HAZ_CONSIGNMENT,227,1)="",AND(INDEX(OHZ_HAZ_DPGREF,227,1)&lt;&gt;"",INDEX(OHZ_HAZ_CONSIGNMENT,227,1)=INDEX(OHZ_HAZ_CONSIGNMENT,226,1),INDEX(OHZ_HAZ_DPGREF,227,1)=INDEX(OHZ_HAZ_DPGREF,226,1))),TRUE,AND(INDEX(OHZ_HAZ_DGCLASSIFI,227,1)&lt;&gt;"",INDEX(OHZ_HAZ_TEXTUALREF,227,1)&lt;&gt;"",INDEX(OHZ_HAZ_TOTAMOUNT,227,1)&lt;&gt;""))</f>
        <v>1</v>
      </c>
      <c r="K234" t="str">
        <f t="shared" si="7"/>
        <v>Row 227 - All mandatory fields must be given</v>
      </c>
      <c r="L234" t="s">
        <v>1391</v>
      </c>
      <c r="T234" t="s">
        <v>1835</v>
      </c>
    </row>
    <row r="235" spans="6:20" x14ac:dyDescent="0.25">
      <c r="F235" t="s">
        <v>1391</v>
      </c>
      <c r="G235" t="b">
        <f>IF(OR(INDEX(IHZ_HAZ_CONSIGNMENT,228,1)="",AND(INDEX(IHZ_HAZ_DPGREF,228,1)&lt;&gt;"",INDEX(IHZ_HAZ_CONSIGNMENT,228,1)=INDEX(IHZ_HAZ_CONSIGNMENT,227,1),INDEX(IHZ_HAZ_DPGREF,228,1)=INDEX(IHZ_HAZ_DPGREF,227,1))),TRUE,AND(INDEX(IHZ_HAZ_DGCLASSIFI,228,1)&lt;&gt;"",INDEX(IHZ_HAZ_TEXTUALREF,228,1)&lt;&gt;"",INDEX(IHZ_HAZ_TOTAMOUNT,228,1)&lt;&gt;""))</f>
        <v>1</v>
      </c>
      <c r="H235" t="str">
        <f t="shared" si="6"/>
        <v>Row 228 - All mandatory fields must be given</v>
      </c>
      <c r="J235" t="b">
        <f>IF(OR(INDEX(OHZ_HAZ_CONSIGNMENT,228,1)="",AND(INDEX(OHZ_HAZ_DPGREF,228,1)&lt;&gt;"",INDEX(OHZ_HAZ_CONSIGNMENT,228,1)=INDEX(OHZ_HAZ_CONSIGNMENT,227,1),INDEX(OHZ_HAZ_DPGREF,228,1)=INDEX(OHZ_HAZ_DPGREF,227,1))),TRUE,AND(INDEX(OHZ_HAZ_DGCLASSIFI,228,1)&lt;&gt;"",INDEX(OHZ_HAZ_TEXTUALREF,228,1)&lt;&gt;"",INDEX(OHZ_HAZ_TOTAMOUNT,228,1)&lt;&gt;""))</f>
        <v>1</v>
      </c>
      <c r="K235" t="str">
        <f t="shared" si="7"/>
        <v>Row 228 - All mandatory fields must be given</v>
      </c>
      <c r="L235" t="s">
        <v>1391</v>
      </c>
      <c r="T235" t="s">
        <v>1836</v>
      </c>
    </row>
    <row r="236" spans="6:20" x14ac:dyDescent="0.25">
      <c r="F236" t="s">
        <v>1391</v>
      </c>
      <c r="G236" t="b">
        <f>IF(OR(INDEX(IHZ_HAZ_CONSIGNMENT,229,1)="",AND(INDEX(IHZ_HAZ_DPGREF,229,1)&lt;&gt;"",INDEX(IHZ_HAZ_CONSIGNMENT,229,1)=INDEX(IHZ_HAZ_CONSIGNMENT,228,1),INDEX(IHZ_HAZ_DPGREF,229,1)=INDEX(IHZ_HAZ_DPGREF,228,1))),TRUE,AND(INDEX(IHZ_HAZ_DGCLASSIFI,229,1)&lt;&gt;"",INDEX(IHZ_HAZ_TEXTUALREF,229,1)&lt;&gt;"",INDEX(IHZ_HAZ_TOTAMOUNT,229,1)&lt;&gt;""))</f>
        <v>1</v>
      </c>
      <c r="H236" t="str">
        <f t="shared" si="6"/>
        <v>Row 229 - All mandatory fields must be given</v>
      </c>
      <c r="J236" t="b">
        <f>IF(OR(INDEX(OHZ_HAZ_CONSIGNMENT,229,1)="",AND(INDEX(OHZ_HAZ_DPGREF,229,1)&lt;&gt;"",INDEX(OHZ_HAZ_CONSIGNMENT,229,1)=INDEX(OHZ_HAZ_CONSIGNMENT,228,1),INDEX(OHZ_HAZ_DPGREF,229,1)=INDEX(OHZ_HAZ_DPGREF,228,1))),TRUE,AND(INDEX(OHZ_HAZ_DGCLASSIFI,229,1)&lt;&gt;"",INDEX(OHZ_HAZ_TEXTUALREF,229,1)&lt;&gt;"",INDEX(OHZ_HAZ_TOTAMOUNT,229,1)&lt;&gt;""))</f>
        <v>1</v>
      </c>
      <c r="K236" t="str">
        <f t="shared" si="7"/>
        <v>Row 229 - All mandatory fields must be given</v>
      </c>
      <c r="L236" t="s">
        <v>1391</v>
      </c>
      <c r="T236" t="s">
        <v>1837</v>
      </c>
    </row>
    <row r="237" spans="6:20" x14ac:dyDescent="0.25">
      <c r="F237" t="s">
        <v>1391</v>
      </c>
      <c r="G237" t="b">
        <f>IF(OR(INDEX(IHZ_HAZ_CONSIGNMENT,230,1)="",AND(INDEX(IHZ_HAZ_DPGREF,230,1)&lt;&gt;"",INDEX(IHZ_HAZ_CONSIGNMENT,230,1)=INDEX(IHZ_HAZ_CONSIGNMENT,229,1),INDEX(IHZ_HAZ_DPGREF,230,1)=INDEX(IHZ_HAZ_DPGREF,229,1))),TRUE,AND(INDEX(IHZ_HAZ_DGCLASSIFI,230,1)&lt;&gt;"",INDEX(IHZ_HAZ_TEXTUALREF,230,1)&lt;&gt;"",INDEX(IHZ_HAZ_TOTAMOUNT,230,1)&lt;&gt;""))</f>
        <v>1</v>
      </c>
      <c r="H237" t="str">
        <f t="shared" si="6"/>
        <v>Row 230 - All mandatory fields must be given</v>
      </c>
      <c r="J237" t="b">
        <f>IF(OR(INDEX(OHZ_HAZ_CONSIGNMENT,230,1)="",AND(INDEX(OHZ_HAZ_DPGREF,230,1)&lt;&gt;"",INDEX(OHZ_HAZ_CONSIGNMENT,230,1)=INDEX(OHZ_HAZ_CONSIGNMENT,229,1),INDEX(OHZ_HAZ_DPGREF,230,1)=INDEX(OHZ_HAZ_DPGREF,229,1))),TRUE,AND(INDEX(OHZ_HAZ_DGCLASSIFI,230,1)&lt;&gt;"",INDEX(OHZ_HAZ_TEXTUALREF,230,1)&lt;&gt;"",INDEX(OHZ_HAZ_TOTAMOUNT,230,1)&lt;&gt;""))</f>
        <v>1</v>
      </c>
      <c r="K237" t="str">
        <f t="shared" si="7"/>
        <v>Row 230 - All mandatory fields must be given</v>
      </c>
      <c r="L237" t="s">
        <v>1391</v>
      </c>
      <c r="T237" t="s">
        <v>1838</v>
      </c>
    </row>
    <row r="238" spans="6:20" x14ac:dyDescent="0.25">
      <c r="F238" t="s">
        <v>1391</v>
      </c>
      <c r="G238" t="b">
        <f>IF(OR(INDEX(IHZ_HAZ_CONSIGNMENT,231,1)="",AND(INDEX(IHZ_HAZ_DPGREF,231,1)&lt;&gt;"",INDEX(IHZ_HAZ_CONSIGNMENT,231,1)=INDEX(IHZ_HAZ_CONSIGNMENT,230,1),INDEX(IHZ_HAZ_DPGREF,231,1)=INDEX(IHZ_HAZ_DPGREF,230,1))),TRUE,AND(INDEX(IHZ_HAZ_DGCLASSIFI,231,1)&lt;&gt;"",INDEX(IHZ_HAZ_TEXTUALREF,231,1)&lt;&gt;"",INDEX(IHZ_HAZ_TOTAMOUNT,231,1)&lt;&gt;""))</f>
        <v>1</v>
      </c>
      <c r="H238" t="str">
        <f t="shared" si="6"/>
        <v>Row 231 - All mandatory fields must be given</v>
      </c>
      <c r="J238" t="b">
        <f>IF(OR(INDEX(OHZ_HAZ_CONSIGNMENT,231,1)="",AND(INDEX(OHZ_HAZ_DPGREF,231,1)&lt;&gt;"",INDEX(OHZ_HAZ_CONSIGNMENT,231,1)=INDEX(OHZ_HAZ_CONSIGNMENT,230,1),INDEX(OHZ_HAZ_DPGREF,231,1)=INDEX(OHZ_HAZ_DPGREF,230,1))),TRUE,AND(INDEX(OHZ_HAZ_DGCLASSIFI,231,1)&lt;&gt;"",INDEX(OHZ_HAZ_TEXTUALREF,231,1)&lt;&gt;"",INDEX(OHZ_HAZ_TOTAMOUNT,231,1)&lt;&gt;""))</f>
        <v>1</v>
      </c>
      <c r="K238" t="str">
        <f t="shared" si="7"/>
        <v>Row 231 - All mandatory fields must be given</v>
      </c>
      <c r="L238" t="s">
        <v>1391</v>
      </c>
      <c r="T238" t="s">
        <v>1839</v>
      </c>
    </row>
    <row r="239" spans="6:20" x14ac:dyDescent="0.25">
      <c r="F239" t="s">
        <v>1391</v>
      </c>
      <c r="G239" t="b">
        <f>IF(OR(INDEX(IHZ_HAZ_CONSIGNMENT,232,1)="",AND(INDEX(IHZ_HAZ_DPGREF,232,1)&lt;&gt;"",INDEX(IHZ_HAZ_CONSIGNMENT,232,1)=INDEX(IHZ_HAZ_CONSIGNMENT,231,1),INDEX(IHZ_HAZ_DPGREF,232,1)=INDEX(IHZ_HAZ_DPGREF,231,1))),TRUE,AND(INDEX(IHZ_HAZ_DGCLASSIFI,232,1)&lt;&gt;"",INDEX(IHZ_HAZ_TEXTUALREF,232,1)&lt;&gt;"",INDEX(IHZ_HAZ_TOTAMOUNT,232,1)&lt;&gt;""))</f>
        <v>1</v>
      </c>
      <c r="H239" t="str">
        <f t="shared" si="6"/>
        <v>Row 232 - All mandatory fields must be given</v>
      </c>
      <c r="J239" t="b">
        <f>IF(OR(INDEX(OHZ_HAZ_CONSIGNMENT,232,1)="",AND(INDEX(OHZ_HAZ_DPGREF,232,1)&lt;&gt;"",INDEX(OHZ_HAZ_CONSIGNMENT,232,1)=INDEX(OHZ_HAZ_CONSIGNMENT,231,1),INDEX(OHZ_HAZ_DPGREF,232,1)=INDEX(OHZ_HAZ_DPGREF,231,1))),TRUE,AND(INDEX(OHZ_HAZ_DGCLASSIFI,232,1)&lt;&gt;"",INDEX(OHZ_HAZ_TEXTUALREF,232,1)&lt;&gt;"",INDEX(OHZ_HAZ_TOTAMOUNT,232,1)&lt;&gt;""))</f>
        <v>1</v>
      </c>
      <c r="K239" t="str">
        <f t="shared" si="7"/>
        <v>Row 232 - All mandatory fields must be given</v>
      </c>
      <c r="L239" t="s">
        <v>1391</v>
      </c>
      <c r="T239" t="s">
        <v>1840</v>
      </c>
    </row>
    <row r="240" spans="6:20" x14ac:dyDescent="0.25">
      <c r="F240" t="s">
        <v>1391</v>
      </c>
      <c r="G240" t="b">
        <f>IF(OR(INDEX(IHZ_HAZ_CONSIGNMENT,233,1)="",AND(INDEX(IHZ_HAZ_DPGREF,233,1)&lt;&gt;"",INDEX(IHZ_HAZ_CONSIGNMENT,233,1)=INDEX(IHZ_HAZ_CONSIGNMENT,232,1),INDEX(IHZ_HAZ_DPGREF,233,1)=INDEX(IHZ_HAZ_DPGREF,232,1))),TRUE,AND(INDEX(IHZ_HAZ_DGCLASSIFI,233,1)&lt;&gt;"",INDEX(IHZ_HAZ_TEXTUALREF,233,1)&lt;&gt;"",INDEX(IHZ_HAZ_TOTAMOUNT,233,1)&lt;&gt;""))</f>
        <v>1</v>
      </c>
      <c r="H240" t="str">
        <f t="shared" si="6"/>
        <v>Row 233 - All mandatory fields must be given</v>
      </c>
      <c r="J240" t="b">
        <f>IF(OR(INDEX(OHZ_HAZ_CONSIGNMENT,233,1)="",AND(INDEX(OHZ_HAZ_DPGREF,233,1)&lt;&gt;"",INDEX(OHZ_HAZ_CONSIGNMENT,233,1)=INDEX(OHZ_HAZ_CONSIGNMENT,232,1),INDEX(OHZ_HAZ_DPGREF,233,1)=INDEX(OHZ_HAZ_DPGREF,232,1))),TRUE,AND(INDEX(OHZ_HAZ_DGCLASSIFI,233,1)&lt;&gt;"",INDEX(OHZ_HAZ_TEXTUALREF,233,1)&lt;&gt;"",INDEX(OHZ_HAZ_TOTAMOUNT,233,1)&lt;&gt;""))</f>
        <v>1</v>
      </c>
      <c r="K240" t="str">
        <f t="shared" si="7"/>
        <v>Row 233 - All mandatory fields must be given</v>
      </c>
      <c r="L240" t="s">
        <v>1391</v>
      </c>
      <c r="T240" t="s">
        <v>1841</v>
      </c>
    </row>
    <row r="241" spans="6:20" x14ac:dyDescent="0.25">
      <c r="F241" t="s">
        <v>1391</v>
      </c>
      <c r="G241" t="b">
        <f>IF(OR(INDEX(IHZ_HAZ_CONSIGNMENT,234,1)="",AND(INDEX(IHZ_HAZ_DPGREF,234,1)&lt;&gt;"",INDEX(IHZ_HAZ_CONSIGNMENT,234,1)=INDEX(IHZ_HAZ_CONSIGNMENT,233,1),INDEX(IHZ_HAZ_DPGREF,234,1)=INDEX(IHZ_HAZ_DPGREF,233,1))),TRUE,AND(INDEX(IHZ_HAZ_DGCLASSIFI,234,1)&lt;&gt;"",INDEX(IHZ_HAZ_TEXTUALREF,234,1)&lt;&gt;"",INDEX(IHZ_HAZ_TOTAMOUNT,234,1)&lt;&gt;""))</f>
        <v>1</v>
      </c>
      <c r="H241" t="str">
        <f t="shared" si="6"/>
        <v>Row 234 - All mandatory fields must be given</v>
      </c>
      <c r="J241" t="b">
        <f>IF(OR(INDEX(OHZ_HAZ_CONSIGNMENT,234,1)="",AND(INDEX(OHZ_HAZ_DPGREF,234,1)&lt;&gt;"",INDEX(OHZ_HAZ_CONSIGNMENT,234,1)=INDEX(OHZ_HAZ_CONSIGNMENT,233,1),INDEX(OHZ_HAZ_DPGREF,234,1)=INDEX(OHZ_HAZ_DPGREF,233,1))),TRUE,AND(INDEX(OHZ_HAZ_DGCLASSIFI,234,1)&lt;&gt;"",INDEX(OHZ_HAZ_TEXTUALREF,234,1)&lt;&gt;"",INDEX(OHZ_HAZ_TOTAMOUNT,234,1)&lt;&gt;""))</f>
        <v>1</v>
      </c>
      <c r="K241" t="str">
        <f t="shared" si="7"/>
        <v>Row 234 - All mandatory fields must be given</v>
      </c>
      <c r="L241" t="s">
        <v>1391</v>
      </c>
      <c r="T241" t="s">
        <v>1842</v>
      </c>
    </row>
    <row r="242" spans="6:20" x14ac:dyDescent="0.25">
      <c r="F242" t="s">
        <v>1391</v>
      </c>
      <c r="G242" t="b">
        <f>IF(OR(INDEX(IHZ_HAZ_CONSIGNMENT,235,1)="",AND(INDEX(IHZ_HAZ_DPGREF,235,1)&lt;&gt;"",INDEX(IHZ_HAZ_CONSIGNMENT,235,1)=INDEX(IHZ_HAZ_CONSIGNMENT,234,1),INDEX(IHZ_HAZ_DPGREF,235,1)=INDEX(IHZ_HAZ_DPGREF,234,1))),TRUE,AND(INDEX(IHZ_HAZ_DGCLASSIFI,235,1)&lt;&gt;"",INDEX(IHZ_HAZ_TEXTUALREF,235,1)&lt;&gt;"",INDEX(IHZ_HAZ_TOTAMOUNT,235,1)&lt;&gt;""))</f>
        <v>1</v>
      </c>
      <c r="H242" t="str">
        <f t="shared" si="6"/>
        <v>Row 235 - All mandatory fields must be given</v>
      </c>
      <c r="J242" t="b">
        <f>IF(OR(INDEX(OHZ_HAZ_CONSIGNMENT,235,1)="",AND(INDEX(OHZ_HAZ_DPGREF,235,1)&lt;&gt;"",INDEX(OHZ_HAZ_CONSIGNMENT,235,1)=INDEX(OHZ_HAZ_CONSIGNMENT,234,1),INDEX(OHZ_HAZ_DPGREF,235,1)=INDEX(OHZ_HAZ_DPGREF,234,1))),TRUE,AND(INDEX(OHZ_HAZ_DGCLASSIFI,235,1)&lt;&gt;"",INDEX(OHZ_HAZ_TEXTUALREF,235,1)&lt;&gt;"",INDEX(OHZ_HAZ_TOTAMOUNT,235,1)&lt;&gt;""))</f>
        <v>1</v>
      </c>
      <c r="K242" t="str">
        <f t="shared" si="7"/>
        <v>Row 235 - All mandatory fields must be given</v>
      </c>
      <c r="L242" t="s">
        <v>1391</v>
      </c>
      <c r="T242" t="s">
        <v>1843</v>
      </c>
    </row>
    <row r="243" spans="6:20" x14ac:dyDescent="0.25">
      <c r="F243" t="s">
        <v>1391</v>
      </c>
      <c r="G243" t="b">
        <f>IF(OR(INDEX(IHZ_HAZ_CONSIGNMENT,236,1)="",AND(INDEX(IHZ_HAZ_DPGREF,236,1)&lt;&gt;"",INDEX(IHZ_HAZ_CONSIGNMENT,236,1)=INDEX(IHZ_HAZ_CONSIGNMENT,235,1),INDEX(IHZ_HAZ_DPGREF,236,1)=INDEX(IHZ_HAZ_DPGREF,235,1))),TRUE,AND(INDEX(IHZ_HAZ_DGCLASSIFI,236,1)&lt;&gt;"",INDEX(IHZ_HAZ_TEXTUALREF,236,1)&lt;&gt;"",INDEX(IHZ_HAZ_TOTAMOUNT,236,1)&lt;&gt;""))</f>
        <v>1</v>
      </c>
      <c r="H243" t="str">
        <f t="shared" si="6"/>
        <v>Row 236 - All mandatory fields must be given</v>
      </c>
      <c r="J243" t="b">
        <f>IF(OR(INDEX(OHZ_HAZ_CONSIGNMENT,236,1)="",AND(INDEX(OHZ_HAZ_DPGREF,236,1)&lt;&gt;"",INDEX(OHZ_HAZ_CONSIGNMENT,236,1)=INDEX(OHZ_HAZ_CONSIGNMENT,235,1),INDEX(OHZ_HAZ_DPGREF,236,1)=INDEX(OHZ_HAZ_DPGREF,235,1))),TRUE,AND(INDEX(OHZ_HAZ_DGCLASSIFI,236,1)&lt;&gt;"",INDEX(OHZ_HAZ_TEXTUALREF,236,1)&lt;&gt;"",INDEX(OHZ_HAZ_TOTAMOUNT,236,1)&lt;&gt;""))</f>
        <v>1</v>
      </c>
      <c r="K243" t="str">
        <f t="shared" si="7"/>
        <v>Row 236 - All mandatory fields must be given</v>
      </c>
      <c r="L243" t="s">
        <v>1391</v>
      </c>
      <c r="T243" t="s">
        <v>1844</v>
      </c>
    </row>
    <row r="244" spans="6:20" x14ac:dyDescent="0.25">
      <c r="F244" t="s">
        <v>1391</v>
      </c>
      <c r="G244" t="b">
        <f>IF(OR(INDEX(IHZ_HAZ_CONSIGNMENT,237,1)="",AND(INDEX(IHZ_HAZ_DPGREF,237,1)&lt;&gt;"",INDEX(IHZ_HAZ_CONSIGNMENT,237,1)=INDEX(IHZ_HAZ_CONSIGNMENT,236,1),INDEX(IHZ_HAZ_DPGREF,237,1)=INDEX(IHZ_HAZ_DPGREF,236,1))),TRUE,AND(INDEX(IHZ_HAZ_DGCLASSIFI,237,1)&lt;&gt;"",INDEX(IHZ_HAZ_TEXTUALREF,237,1)&lt;&gt;"",INDEX(IHZ_HAZ_TOTAMOUNT,237,1)&lt;&gt;""))</f>
        <v>1</v>
      </c>
      <c r="H244" t="str">
        <f t="shared" si="6"/>
        <v>Row 237 - All mandatory fields must be given</v>
      </c>
      <c r="J244" t="b">
        <f>IF(OR(INDEX(OHZ_HAZ_CONSIGNMENT,237,1)="",AND(INDEX(OHZ_HAZ_DPGREF,237,1)&lt;&gt;"",INDEX(OHZ_HAZ_CONSIGNMENT,237,1)=INDEX(OHZ_HAZ_CONSIGNMENT,236,1),INDEX(OHZ_HAZ_DPGREF,237,1)=INDEX(OHZ_HAZ_DPGREF,236,1))),TRUE,AND(INDEX(OHZ_HAZ_DGCLASSIFI,237,1)&lt;&gt;"",INDEX(OHZ_HAZ_TEXTUALREF,237,1)&lt;&gt;"",INDEX(OHZ_HAZ_TOTAMOUNT,237,1)&lt;&gt;""))</f>
        <v>1</v>
      </c>
      <c r="K244" t="str">
        <f t="shared" si="7"/>
        <v>Row 237 - All mandatory fields must be given</v>
      </c>
      <c r="L244" t="s">
        <v>1391</v>
      </c>
      <c r="T244" t="s">
        <v>1845</v>
      </c>
    </row>
    <row r="245" spans="6:20" x14ac:dyDescent="0.25">
      <c r="F245" t="s">
        <v>1391</v>
      </c>
      <c r="G245" t="b">
        <f>IF(OR(INDEX(IHZ_HAZ_CONSIGNMENT,238,1)="",AND(INDEX(IHZ_HAZ_DPGREF,238,1)&lt;&gt;"",INDEX(IHZ_HAZ_CONSIGNMENT,238,1)=INDEX(IHZ_HAZ_CONSIGNMENT,237,1),INDEX(IHZ_HAZ_DPGREF,238,1)=INDEX(IHZ_HAZ_DPGREF,237,1))),TRUE,AND(INDEX(IHZ_HAZ_DGCLASSIFI,238,1)&lt;&gt;"",INDEX(IHZ_HAZ_TEXTUALREF,238,1)&lt;&gt;"",INDEX(IHZ_HAZ_TOTAMOUNT,238,1)&lt;&gt;""))</f>
        <v>1</v>
      </c>
      <c r="H245" t="str">
        <f t="shared" si="6"/>
        <v>Row 238 - All mandatory fields must be given</v>
      </c>
      <c r="J245" t="b">
        <f>IF(OR(INDEX(OHZ_HAZ_CONSIGNMENT,238,1)="",AND(INDEX(OHZ_HAZ_DPGREF,238,1)&lt;&gt;"",INDEX(OHZ_HAZ_CONSIGNMENT,238,1)=INDEX(OHZ_HAZ_CONSIGNMENT,237,1),INDEX(OHZ_HAZ_DPGREF,238,1)=INDEX(OHZ_HAZ_DPGREF,237,1))),TRUE,AND(INDEX(OHZ_HAZ_DGCLASSIFI,238,1)&lt;&gt;"",INDEX(OHZ_HAZ_TEXTUALREF,238,1)&lt;&gt;"",INDEX(OHZ_HAZ_TOTAMOUNT,238,1)&lt;&gt;""))</f>
        <v>1</v>
      </c>
      <c r="K245" t="str">
        <f t="shared" si="7"/>
        <v>Row 238 - All mandatory fields must be given</v>
      </c>
      <c r="L245" t="s">
        <v>1391</v>
      </c>
      <c r="T245" t="s">
        <v>1846</v>
      </c>
    </row>
    <row r="246" spans="6:20" x14ac:dyDescent="0.25">
      <c r="F246" t="s">
        <v>1391</v>
      </c>
      <c r="G246" t="b">
        <f>IF(OR(INDEX(IHZ_HAZ_CONSIGNMENT,239,1)="",AND(INDEX(IHZ_HAZ_DPGREF,239,1)&lt;&gt;"",INDEX(IHZ_HAZ_CONSIGNMENT,239,1)=INDEX(IHZ_HAZ_CONSIGNMENT,238,1),INDEX(IHZ_HAZ_DPGREF,239,1)=INDEX(IHZ_HAZ_DPGREF,238,1))),TRUE,AND(INDEX(IHZ_HAZ_DGCLASSIFI,239,1)&lt;&gt;"",INDEX(IHZ_HAZ_TEXTUALREF,239,1)&lt;&gt;"",INDEX(IHZ_HAZ_TOTAMOUNT,239,1)&lt;&gt;""))</f>
        <v>1</v>
      </c>
      <c r="H246" t="str">
        <f t="shared" si="6"/>
        <v>Row 239 - All mandatory fields must be given</v>
      </c>
      <c r="J246" t="b">
        <f>IF(OR(INDEX(OHZ_HAZ_CONSIGNMENT,239,1)="",AND(INDEX(OHZ_HAZ_DPGREF,239,1)&lt;&gt;"",INDEX(OHZ_HAZ_CONSIGNMENT,239,1)=INDEX(OHZ_HAZ_CONSIGNMENT,238,1),INDEX(OHZ_HAZ_DPGREF,239,1)=INDEX(OHZ_HAZ_DPGREF,238,1))),TRUE,AND(INDEX(OHZ_HAZ_DGCLASSIFI,239,1)&lt;&gt;"",INDEX(OHZ_HAZ_TEXTUALREF,239,1)&lt;&gt;"",INDEX(OHZ_HAZ_TOTAMOUNT,239,1)&lt;&gt;""))</f>
        <v>1</v>
      </c>
      <c r="K246" t="str">
        <f t="shared" si="7"/>
        <v>Row 239 - All mandatory fields must be given</v>
      </c>
      <c r="L246" t="s">
        <v>1391</v>
      </c>
      <c r="T246" t="s">
        <v>1847</v>
      </c>
    </row>
    <row r="247" spans="6:20" x14ac:dyDescent="0.25">
      <c r="F247" t="s">
        <v>1391</v>
      </c>
      <c r="G247" t="b">
        <f>IF(OR(INDEX(IHZ_HAZ_CONSIGNMENT,240,1)="",AND(INDEX(IHZ_HAZ_DPGREF,240,1)&lt;&gt;"",INDEX(IHZ_HAZ_CONSIGNMENT,240,1)=INDEX(IHZ_HAZ_CONSIGNMENT,239,1),INDEX(IHZ_HAZ_DPGREF,240,1)=INDEX(IHZ_HAZ_DPGREF,239,1))),TRUE,AND(INDEX(IHZ_HAZ_DGCLASSIFI,240,1)&lt;&gt;"",INDEX(IHZ_HAZ_TEXTUALREF,240,1)&lt;&gt;"",INDEX(IHZ_HAZ_TOTAMOUNT,240,1)&lt;&gt;""))</f>
        <v>1</v>
      </c>
      <c r="H247" t="str">
        <f t="shared" si="6"/>
        <v>Row 240 - All mandatory fields must be given</v>
      </c>
      <c r="J247" t="b">
        <f>IF(OR(INDEX(OHZ_HAZ_CONSIGNMENT,240,1)="",AND(INDEX(OHZ_HAZ_DPGREF,240,1)&lt;&gt;"",INDEX(OHZ_HAZ_CONSIGNMENT,240,1)=INDEX(OHZ_HAZ_CONSIGNMENT,239,1),INDEX(OHZ_HAZ_DPGREF,240,1)=INDEX(OHZ_HAZ_DPGREF,239,1))),TRUE,AND(INDEX(OHZ_HAZ_DGCLASSIFI,240,1)&lt;&gt;"",INDEX(OHZ_HAZ_TEXTUALREF,240,1)&lt;&gt;"",INDEX(OHZ_HAZ_TOTAMOUNT,240,1)&lt;&gt;""))</f>
        <v>1</v>
      </c>
      <c r="K247" t="str">
        <f t="shared" si="7"/>
        <v>Row 240 - All mandatory fields must be given</v>
      </c>
      <c r="L247" t="s">
        <v>1391</v>
      </c>
      <c r="T247" t="s">
        <v>1848</v>
      </c>
    </row>
    <row r="248" spans="6:20" x14ac:dyDescent="0.25">
      <c r="F248" t="s">
        <v>1391</v>
      </c>
      <c r="G248" t="b">
        <f>IF(OR(INDEX(IHZ_HAZ_CONSIGNMENT,241,1)="",AND(INDEX(IHZ_HAZ_DPGREF,241,1)&lt;&gt;"",INDEX(IHZ_HAZ_CONSIGNMENT,241,1)=INDEX(IHZ_HAZ_CONSIGNMENT,240,1),INDEX(IHZ_HAZ_DPGREF,241,1)=INDEX(IHZ_HAZ_DPGREF,240,1))),TRUE,AND(INDEX(IHZ_HAZ_DGCLASSIFI,241,1)&lt;&gt;"",INDEX(IHZ_HAZ_TEXTUALREF,241,1)&lt;&gt;"",INDEX(IHZ_HAZ_TOTAMOUNT,241,1)&lt;&gt;""))</f>
        <v>1</v>
      </c>
      <c r="H248" t="str">
        <f t="shared" si="6"/>
        <v>Row 241 - All mandatory fields must be given</v>
      </c>
      <c r="J248" t="b">
        <f>IF(OR(INDEX(OHZ_HAZ_CONSIGNMENT,241,1)="",AND(INDEX(OHZ_HAZ_DPGREF,241,1)&lt;&gt;"",INDEX(OHZ_HAZ_CONSIGNMENT,241,1)=INDEX(OHZ_HAZ_CONSIGNMENT,240,1),INDEX(OHZ_HAZ_DPGREF,241,1)=INDEX(OHZ_HAZ_DPGREF,240,1))),TRUE,AND(INDEX(OHZ_HAZ_DGCLASSIFI,241,1)&lt;&gt;"",INDEX(OHZ_HAZ_TEXTUALREF,241,1)&lt;&gt;"",INDEX(OHZ_HAZ_TOTAMOUNT,241,1)&lt;&gt;""))</f>
        <v>1</v>
      </c>
      <c r="K248" t="str">
        <f t="shared" si="7"/>
        <v>Row 241 - All mandatory fields must be given</v>
      </c>
      <c r="L248" t="s">
        <v>1391</v>
      </c>
      <c r="T248" t="s">
        <v>1849</v>
      </c>
    </row>
    <row r="249" spans="6:20" x14ac:dyDescent="0.25">
      <c r="F249" t="s">
        <v>1391</v>
      </c>
      <c r="G249" t="b">
        <f>IF(OR(INDEX(IHZ_HAZ_CONSIGNMENT,242,1)="",AND(INDEX(IHZ_HAZ_DPGREF,242,1)&lt;&gt;"",INDEX(IHZ_HAZ_CONSIGNMENT,242,1)=INDEX(IHZ_HAZ_CONSIGNMENT,241,1),INDEX(IHZ_HAZ_DPGREF,242,1)=INDEX(IHZ_HAZ_DPGREF,241,1))),TRUE,AND(INDEX(IHZ_HAZ_DGCLASSIFI,242,1)&lt;&gt;"",INDEX(IHZ_HAZ_TEXTUALREF,242,1)&lt;&gt;"",INDEX(IHZ_HAZ_TOTAMOUNT,242,1)&lt;&gt;""))</f>
        <v>1</v>
      </c>
      <c r="H249" t="str">
        <f t="shared" si="6"/>
        <v>Row 242 - All mandatory fields must be given</v>
      </c>
      <c r="J249" t="b">
        <f>IF(OR(INDEX(OHZ_HAZ_CONSIGNMENT,242,1)="",AND(INDEX(OHZ_HAZ_DPGREF,242,1)&lt;&gt;"",INDEX(OHZ_HAZ_CONSIGNMENT,242,1)=INDEX(OHZ_HAZ_CONSIGNMENT,241,1),INDEX(OHZ_HAZ_DPGREF,242,1)=INDEX(OHZ_HAZ_DPGREF,241,1))),TRUE,AND(INDEX(OHZ_HAZ_DGCLASSIFI,242,1)&lt;&gt;"",INDEX(OHZ_HAZ_TEXTUALREF,242,1)&lt;&gt;"",INDEX(OHZ_HAZ_TOTAMOUNT,242,1)&lt;&gt;""))</f>
        <v>1</v>
      </c>
      <c r="K249" t="str">
        <f t="shared" si="7"/>
        <v>Row 242 - All mandatory fields must be given</v>
      </c>
      <c r="L249" t="s">
        <v>1391</v>
      </c>
      <c r="T249" t="s">
        <v>1850</v>
      </c>
    </row>
    <row r="250" spans="6:20" x14ac:dyDescent="0.25">
      <c r="F250" t="s">
        <v>1391</v>
      </c>
      <c r="G250" t="b">
        <f>IF(OR(INDEX(IHZ_HAZ_CONSIGNMENT,243,1)="",AND(INDEX(IHZ_HAZ_DPGREF,243,1)&lt;&gt;"",INDEX(IHZ_HAZ_CONSIGNMENT,243,1)=INDEX(IHZ_HAZ_CONSIGNMENT,242,1),INDEX(IHZ_HAZ_DPGREF,243,1)=INDEX(IHZ_HAZ_DPGREF,242,1))),TRUE,AND(INDEX(IHZ_HAZ_DGCLASSIFI,243,1)&lt;&gt;"",INDEX(IHZ_HAZ_TEXTUALREF,243,1)&lt;&gt;"",INDEX(IHZ_HAZ_TOTAMOUNT,243,1)&lt;&gt;""))</f>
        <v>1</v>
      </c>
      <c r="H250" t="str">
        <f t="shared" si="6"/>
        <v>Row 243 - All mandatory fields must be given</v>
      </c>
      <c r="J250" t="b">
        <f>IF(OR(INDEX(OHZ_HAZ_CONSIGNMENT,243,1)="",AND(INDEX(OHZ_HAZ_DPGREF,243,1)&lt;&gt;"",INDEX(OHZ_HAZ_CONSIGNMENT,243,1)=INDEX(OHZ_HAZ_CONSIGNMENT,242,1),INDEX(OHZ_HAZ_DPGREF,243,1)=INDEX(OHZ_HAZ_DPGREF,242,1))),TRUE,AND(INDEX(OHZ_HAZ_DGCLASSIFI,243,1)&lt;&gt;"",INDEX(OHZ_HAZ_TEXTUALREF,243,1)&lt;&gt;"",INDEX(OHZ_HAZ_TOTAMOUNT,243,1)&lt;&gt;""))</f>
        <v>1</v>
      </c>
      <c r="K250" t="str">
        <f t="shared" si="7"/>
        <v>Row 243 - All mandatory fields must be given</v>
      </c>
      <c r="L250" t="s">
        <v>1391</v>
      </c>
      <c r="T250" t="s">
        <v>1851</v>
      </c>
    </row>
    <row r="251" spans="6:20" x14ac:dyDescent="0.25">
      <c r="F251" t="s">
        <v>1391</v>
      </c>
      <c r="G251" t="b">
        <f>IF(OR(INDEX(IHZ_HAZ_CONSIGNMENT,244,1)="",AND(INDEX(IHZ_HAZ_DPGREF,244,1)&lt;&gt;"",INDEX(IHZ_HAZ_CONSIGNMENT,244,1)=INDEX(IHZ_HAZ_CONSIGNMENT,243,1),INDEX(IHZ_HAZ_DPGREF,244,1)=INDEX(IHZ_HAZ_DPGREF,243,1))),TRUE,AND(INDEX(IHZ_HAZ_DGCLASSIFI,244,1)&lt;&gt;"",INDEX(IHZ_HAZ_TEXTUALREF,244,1)&lt;&gt;"",INDEX(IHZ_HAZ_TOTAMOUNT,244,1)&lt;&gt;""))</f>
        <v>1</v>
      </c>
      <c r="H251" t="str">
        <f t="shared" si="6"/>
        <v>Row 244 - All mandatory fields must be given</v>
      </c>
      <c r="J251" t="b">
        <f>IF(OR(INDEX(OHZ_HAZ_CONSIGNMENT,244,1)="",AND(INDEX(OHZ_HAZ_DPGREF,244,1)&lt;&gt;"",INDEX(OHZ_HAZ_CONSIGNMENT,244,1)=INDEX(OHZ_HAZ_CONSIGNMENT,243,1),INDEX(OHZ_HAZ_DPGREF,244,1)=INDEX(OHZ_HAZ_DPGREF,243,1))),TRUE,AND(INDEX(OHZ_HAZ_DGCLASSIFI,244,1)&lt;&gt;"",INDEX(OHZ_HAZ_TEXTUALREF,244,1)&lt;&gt;"",INDEX(OHZ_HAZ_TOTAMOUNT,244,1)&lt;&gt;""))</f>
        <v>1</v>
      </c>
      <c r="K251" t="str">
        <f t="shared" si="7"/>
        <v>Row 244 - All mandatory fields must be given</v>
      </c>
      <c r="L251" t="s">
        <v>1391</v>
      </c>
    </row>
    <row r="252" spans="6:20" x14ac:dyDescent="0.25">
      <c r="F252" t="s">
        <v>1391</v>
      </c>
      <c r="G252" t="b">
        <f>IF(OR(INDEX(IHZ_HAZ_CONSIGNMENT,245,1)="",AND(INDEX(IHZ_HAZ_DPGREF,245,1)&lt;&gt;"",INDEX(IHZ_HAZ_CONSIGNMENT,245,1)=INDEX(IHZ_HAZ_CONSIGNMENT,244,1),INDEX(IHZ_HAZ_DPGREF,245,1)=INDEX(IHZ_HAZ_DPGREF,244,1))),TRUE,AND(INDEX(IHZ_HAZ_DGCLASSIFI,245,1)&lt;&gt;"",INDEX(IHZ_HAZ_TEXTUALREF,245,1)&lt;&gt;"",INDEX(IHZ_HAZ_TOTAMOUNT,245,1)&lt;&gt;""))</f>
        <v>1</v>
      </c>
      <c r="H252" t="str">
        <f t="shared" si="6"/>
        <v>Row 245 - All mandatory fields must be given</v>
      </c>
      <c r="J252" t="b">
        <f>IF(OR(INDEX(OHZ_HAZ_CONSIGNMENT,245,1)="",AND(INDEX(OHZ_HAZ_DPGREF,245,1)&lt;&gt;"",INDEX(OHZ_HAZ_CONSIGNMENT,245,1)=INDEX(OHZ_HAZ_CONSIGNMENT,244,1),INDEX(OHZ_HAZ_DPGREF,245,1)=INDEX(OHZ_HAZ_DPGREF,244,1))),TRUE,AND(INDEX(OHZ_HAZ_DGCLASSIFI,245,1)&lt;&gt;"",INDEX(OHZ_HAZ_TEXTUALREF,245,1)&lt;&gt;"",INDEX(OHZ_HAZ_TOTAMOUNT,245,1)&lt;&gt;""))</f>
        <v>1</v>
      </c>
      <c r="K252" t="str">
        <f t="shared" si="7"/>
        <v>Row 245 - All mandatory fields must be given</v>
      </c>
      <c r="L252" t="s">
        <v>1391</v>
      </c>
    </row>
    <row r="253" spans="6:20" x14ac:dyDescent="0.25">
      <c r="F253" t="s">
        <v>1391</v>
      </c>
      <c r="G253" t="b">
        <f>IF(OR(INDEX(IHZ_HAZ_CONSIGNMENT,246,1)="",AND(INDEX(IHZ_HAZ_DPGREF,246,1)&lt;&gt;"",INDEX(IHZ_HAZ_CONSIGNMENT,246,1)=INDEX(IHZ_HAZ_CONSIGNMENT,245,1),INDEX(IHZ_HAZ_DPGREF,246,1)=INDEX(IHZ_HAZ_DPGREF,245,1))),TRUE,AND(INDEX(IHZ_HAZ_DGCLASSIFI,246,1)&lt;&gt;"",INDEX(IHZ_HAZ_TEXTUALREF,246,1)&lt;&gt;"",INDEX(IHZ_HAZ_TOTAMOUNT,246,1)&lt;&gt;""))</f>
        <v>1</v>
      </c>
      <c r="H253" t="str">
        <f t="shared" si="6"/>
        <v>Row 246 - All mandatory fields must be given</v>
      </c>
      <c r="J253" t="b">
        <f>IF(OR(INDEX(OHZ_HAZ_CONSIGNMENT,246,1)="",AND(INDEX(OHZ_HAZ_DPGREF,246,1)&lt;&gt;"",INDEX(OHZ_HAZ_CONSIGNMENT,246,1)=INDEX(OHZ_HAZ_CONSIGNMENT,245,1),INDEX(OHZ_HAZ_DPGREF,246,1)=INDEX(OHZ_HAZ_DPGREF,245,1))),TRUE,AND(INDEX(OHZ_HAZ_DGCLASSIFI,246,1)&lt;&gt;"",INDEX(OHZ_HAZ_TEXTUALREF,246,1)&lt;&gt;"",INDEX(OHZ_HAZ_TOTAMOUNT,246,1)&lt;&gt;""))</f>
        <v>1</v>
      </c>
      <c r="K253" t="str">
        <f t="shared" si="7"/>
        <v>Row 246 - All mandatory fields must be given</v>
      </c>
      <c r="L253" t="s">
        <v>1391</v>
      </c>
    </row>
    <row r="254" spans="6:20" x14ac:dyDescent="0.25">
      <c r="F254" t="s">
        <v>1391</v>
      </c>
      <c r="G254" t="b">
        <f>IF(OR(INDEX(IHZ_HAZ_CONSIGNMENT,247,1)="",AND(INDEX(IHZ_HAZ_DPGREF,247,1)&lt;&gt;"",INDEX(IHZ_HAZ_CONSIGNMENT,247,1)=INDEX(IHZ_HAZ_CONSIGNMENT,246,1),INDEX(IHZ_HAZ_DPGREF,247,1)=INDEX(IHZ_HAZ_DPGREF,246,1))),TRUE,AND(INDEX(IHZ_HAZ_DGCLASSIFI,247,1)&lt;&gt;"",INDEX(IHZ_HAZ_TEXTUALREF,247,1)&lt;&gt;"",INDEX(IHZ_HAZ_TOTAMOUNT,247,1)&lt;&gt;""))</f>
        <v>1</v>
      </c>
      <c r="H254" t="str">
        <f t="shared" si="6"/>
        <v>Row 247 - All mandatory fields must be given</v>
      </c>
      <c r="J254" t="b">
        <f>IF(OR(INDEX(OHZ_HAZ_CONSIGNMENT,247,1)="",AND(INDEX(OHZ_HAZ_DPGREF,247,1)&lt;&gt;"",INDEX(OHZ_HAZ_CONSIGNMENT,247,1)=INDEX(OHZ_HAZ_CONSIGNMENT,246,1),INDEX(OHZ_HAZ_DPGREF,247,1)=INDEX(OHZ_HAZ_DPGREF,246,1))),TRUE,AND(INDEX(OHZ_HAZ_DGCLASSIFI,247,1)&lt;&gt;"",INDEX(OHZ_HAZ_TEXTUALREF,247,1)&lt;&gt;"",INDEX(OHZ_HAZ_TOTAMOUNT,247,1)&lt;&gt;""))</f>
        <v>1</v>
      </c>
      <c r="K254" t="str">
        <f t="shared" si="7"/>
        <v>Row 247 - All mandatory fields must be given</v>
      </c>
      <c r="L254" t="s">
        <v>1391</v>
      </c>
    </row>
    <row r="255" spans="6:20" x14ac:dyDescent="0.25">
      <c r="F255" t="s">
        <v>1391</v>
      </c>
      <c r="G255" t="b">
        <f>IF(OR(INDEX(IHZ_HAZ_CONSIGNMENT,248,1)="",AND(INDEX(IHZ_HAZ_DPGREF,248,1)&lt;&gt;"",INDEX(IHZ_HAZ_CONSIGNMENT,248,1)=INDEX(IHZ_HAZ_CONSIGNMENT,247,1),INDEX(IHZ_HAZ_DPGREF,248,1)=INDEX(IHZ_HAZ_DPGREF,247,1))),TRUE,AND(INDEX(IHZ_HAZ_DGCLASSIFI,248,1)&lt;&gt;"",INDEX(IHZ_HAZ_TEXTUALREF,248,1)&lt;&gt;"",INDEX(IHZ_HAZ_TOTAMOUNT,248,1)&lt;&gt;""))</f>
        <v>1</v>
      </c>
      <c r="H255" t="str">
        <f t="shared" si="6"/>
        <v>Row 248 - All mandatory fields must be given</v>
      </c>
      <c r="J255" t="b">
        <f>IF(OR(INDEX(OHZ_HAZ_CONSIGNMENT,248,1)="",AND(INDEX(OHZ_HAZ_DPGREF,248,1)&lt;&gt;"",INDEX(OHZ_HAZ_CONSIGNMENT,248,1)=INDEX(OHZ_HAZ_CONSIGNMENT,247,1),INDEX(OHZ_HAZ_DPGREF,248,1)=INDEX(OHZ_HAZ_DPGREF,247,1))),TRUE,AND(INDEX(OHZ_HAZ_DGCLASSIFI,248,1)&lt;&gt;"",INDEX(OHZ_HAZ_TEXTUALREF,248,1)&lt;&gt;"",INDEX(OHZ_HAZ_TOTAMOUNT,248,1)&lt;&gt;""))</f>
        <v>1</v>
      </c>
      <c r="K255" t="str">
        <f t="shared" si="7"/>
        <v>Row 248 - All mandatory fields must be given</v>
      </c>
      <c r="L255" t="s">
        <v>1391</v>
      </c>
    </row>
    <row r="256" spans="6:20" x14ac:dyDescent="0.25">
      <c r="F256" t="s">
        <v>1391</v>
      </c>
      <c r="G256" t="b">
        <f>IF(OR(INDEX(IHZ_HAZ_CONSIGNMENT,249,1)="",AND(INDEX(IHZ_HAZ_DPGREF,249,1)&lt;&gt;"",INDEX(IHZ_HAZ_CONSIGNMENT,249,1)=INDEX(IHZ_HAZ_CONSIGNMENT,248,1),INDEX(IHZ_HAZ_DPGREF,249,1)=INDEX(IHZ_HAZ_DPGREF,248,1))),TRUE,AND(INDEX(IHZ_HAZ_DGCLASSIFI,249,1)&lt;&gt;"",INDEX(IHZ_HAZ_TEXTUALREF,249,1)&lt;&gt;"",INDEX(IHZ_HAZ_TOTAMOUNT,249,1)&lt;&gt;""))</f>
        <v>1</v>
      </c>
      <c r="H256" t="str">
        <f t="shared" si="6"/>
        <v>Row 249 - All mandatory fields must be given</v>
      </c>
      <c r="J256" t="b">
        <f>IF(OR(INDEX(OHZ_HAZ_CONSIGNMENT,249,1)="",AND(INDEX(OHZ_HAZ_DPGREF,249,1)&lt;&gt;"",INDEX(OHZ_HAZ_CONSIGNMENT,249,1)=INDEX(OHZ_HAZ_CONSIGNMENT,248,1),INDEX(OHZ_HAZ_DPGREF,249,1)=INDEX(OHZ_HAZ_DPGREF,248,1))),TRUE,AND(INDEX(OHZ_HAZ_DGCLASSIFI,249,1)&lt;&gt;"",INDEX(OHZ_HAZ_TEXTUALREF,249,1)&lt;&gt;"",INDEX(OHZ_HAZ_TOTAMOUNT,249,1)&lt;&gt;""))</f>
        <v>1</v>
      </c>
      <c r="K256" t="str">
        <f t="shared" si="7"/>
        <v>Row 249 - All mandatory fields must be given</v>
      </c>
      <c r="L256" t="s">
        <v>1391</v>
      </c>
    </row>
    <row r="257" spans="6:12" x14ac:dyDescent="0.25">
      <c r="F257" t="s">
        <v>1391</v>
      </c>
      <c r="G257" t="b">
        <f>IF(OR(INDEX(IHZ_HAZ_CONSIGNMENT,250,1)="",AND(INDEX(IHZ_HAZ_DPGREF,250,1)&lt;&gt;"",INDEX(IHZ_HAZ_CONSIGNMENT,250,1)=INDEX(IHZ_HAZ_CONSIGNMENT,249,1),INDEX(IHZ_HAZ_DPGREF,250,1)=INDEX(IHZ_HAZ_DPGREF,249,1))),TRUE,AND(INDEX(IHZ_HAZ_DGCLASSIFI,250,1)&lt;&gt;"",INDEX(IHZ_HAZ_TEXTUALREF,250,1)&lt;&gt;"",INDEX(IHZ_HAZ_TOTAMOUNT,250,1)&lt;&gt;""))</f>
        <v>1</v>
      </c>
      <c r="H257" t="str">
        <f t="shared" si="6"/>
        <v>Row 250 - All mandatory fields must be given</v>
      </c>
      <c r="J257" t="b">
        <f>IF(OR(INDEX(OHZ_HAZ_CONSIGNMENT,250,1)="",AND(INDEX(OHZ_HAZ_DPGREF,250,1)&lt;&gt;"",INDEX(OHZ_HAZ_CONSIGNMENT,250,1)=INDEX(OHZ_HAZ_CONSIGNMENT,249,1),INDEX(OHZ_HAZ_DPGREF,250,1)=INDEX(OHZ_HAZ_DPGREF,249,1))),TRUE,AND(INDEX(OHZ_HAZ_DGCLASSIFI,250,1)&lt;&gt;"",INDEX(OHZ_HAZ_TEXTUALREF,250,1)&lt;&gt;"",INDEX(OHZ_HAZ_TOTAMOUNT,250,1)&lt;&gt;""))</f>
        <v>1</v>
      </c>
      <c r="K257" t="str">
        <f t="shared" si="7"/>
        <v>Row 250 - All mandatory fields must be given</v>
      </c>
      <c r="L257" t="s">
        <v>1391</v>
      </c>
    </row>
    <row r="258" spans="6:12" x14ac:dyDescent="0.25">
      <c r="F258" t="s">
        <v>1391</v>
      </c>
      <c r="G258" t="b">
        <f>IF(OR(INDEX(IHZ_HAZ_TOTAMOUNT,1,1)&lt;&gt;"",),IF(OR(INDEX(IHZ_HAZ_TOTNETGROSS,1,1)="",INDEX(IHZ_HAZ_TOTUNIT,1,1)="",),FALSE,TRUE),TRUE)</f>
        <v>1</v>
      </c>
      <c r="H258" t="str">
        <f>T1&amp;$V$2</f>
        <v xml:space="preserve">Row 1 - If ‘Total amount’ is given, then ‘Net / Gross’ and ‘Total amount unit’ are required </v>
      </c>
      <c r="I258" t="s">
        <v>1391</v>
      </c>
      <c r="J258" t="b">
        <f>IF(OR(INDEX(OHZ_HAZ_CONSIGNMENT,250,1)="",AND(INDEX(OHZ_HAZ_DPGREF,250,1)&lt;&gt;"",,1)="",AND(INDEX(OHZ_HAZ_CONSIGNMENT,250,1)=INDEX(OHZ_HAZ_CONSIGNMENT,249,1),INDEX(OHZ_HAZ_DPGREF,250,1)=INDEX(OHZ_HAZ_DPGREF,249,1))),TRUE,AND(INDEX(OHZ_HAZ_DGCLASSIFI,250,1)&lt;&gt;"",INDEX(OHZ_HAZ_TEXTUALREF,250,1)&lt;&gt;"",INDEX(OHZ_HAZ_TOTAMOUNT,250,1)&lt;&gt;"",INDEX(OHZ_HAZ_DPGREF,250,1)&lt;&gt;""))</f>
        <v>1</v>
      </c>
      <c r="K258" t="str">
        <f>T1&amp;$V$2</f>
        <v xml:space="preserve">Row 1 - If ‘Total amount’ is given, then ‘Net / Gross’ and ‘Total amount unit’ are required </v>
      </c>
      <c r="L258" t="s">
        <v>1391</v>
      </c>
    </row>
    <row r="259" spans="6:12" x14ac:dyDescent="0.25">
      <c r="F259" t="s">
        <v>1391</v>
      </c>
      <c r="G259" t="b">
        <f>IF(OR(INDEX(IHZ_HAZ_TOTAMOUNT,2,1)&lt;&gt;"",),IF(OR(INDEX(IHZ_HAZ_TOTNETGROSS,2,1)="",INDEX(IHZ_HAZ_TOTUNIT,2,1)="",),FALSE,TRUE),TRUE)</f>
        <v>1</v>
      </c>
      <c r="H259" t="str">
        <f t="shared" ref="H259:H322" si="8">T2&amp;$V$2</f>
        <v xml:space="preserve">Row 2 - If ‘Total amount’ is given, then ‘Net / Gross’ and ‘Total amount unit’ are required </v>
      </c>
      <c r="I259" t="s">
        <v>1391</v>
      </c>
      <c r="J259" t="b">
        <f>IF(OR(INDEX(OHZ_HAZ_TOTAMOUNT,2,1)&lt;&gt;"",),IF(OR(INDEX(OHZ_HAZ_TOTNETGROSS,2,1)="",INDEX(OHZ_HAZ_TOTUNIT,2,1)="",),FALSE,TRUE),TRUE)</f>
        <v>1</v>
      </c>
      <c r="K259" t="str">
        <f t="shared" ref="K259:K322" si="9">T2&amp;$V$2</f>
        <v xml:space="preserve">Row 2 - If ‘Total amount’ is given, then ‘Net / Gross’ and ‘Total amount unit’ are required </v>
      </c>
      <c r="L259" t="s">
        <v>1391</v>
      </c>
    </row>
    <row r="260" spans="6:12" x14ac:dyDescent="0.25">
      <c r="F260" t="s">
        <v>1391</v>
      </c>
      <c r="G260" t="b">
        <f>IF(OR(INDEX(IHZ_HAZ_TOTAMOUNT,3,1)&lt;&gt;"",),IF(OR(INDEX(IHZ_HAZ_TOTNETGROSS,3,1)="",INDEX(IHZ_HAZ_TOTUNIT,3,1)="",),FALSE,TRUE),TRUE)</f>
        <v>1</v>
      </c>
      <c r="H260" t="str">
        <f t="shared" si="8"/>
        <v xml:space="preserve">Row 3 - If ‘Total amount’ is given, then ‘Net / Gross’ and ‘Total amount unit’ are required </v>
      </c>
      <c r="I260" t="s">
        <v>1391</v>
      </c>
      <c r="J260" t="b">
        <f>IF(OR(INDEX(OHZ_HAZ_TOTAMOUNT,3,1)&lt;&gt;"",),IF(OR(INDEX(OHZ_HAZ_TOTNETGROSS,3,1)="",INDEX(OHZ_HAZ_TOTUNIT,3,1)="",),FALSE,TRUE),TRUE)</f>
        <v>1</v>
      </c>
      <c r="K260" t="str">
        <f t="shared" si="9"/>
        <v xml:space="preserve">Row 3 - If ‘Total amount’ is given, then ‘Net / Gross’ and ‘Total amount unit’ are required </v>
      </c>
      <c r="L260" t="s">
        <v>1391</v>
      </c>
    </row>
    <row r="261" spans="6:12" x14ac:dyDescent="0.25">
      <c r="F261" t="s">
        <v>1391</v>
      </c>
      <c r="G261" t="b">
        <f>IF(OR(INDEX(IHZ_HAZ_TOTAMOUNT,4,1)&lt;&gt;"",),IF(OR(INDEX(IHZ_HAZ_TOTNETGROSS,4,1)="",INDEX(IHZ_HAZ_TOTUNIT,4,1)="",),FALSE,TRUE),TRUE)</f>
        <v>1</v>
      </c>
      <c r="H261" t="str">
        <f t="shared" si="8"/>
        <v xml:space="preserve">Row 4 - If ‘Total amount’ is given, then ‘Net / Gross’ and ‘Total amount unit’ are required </v>
      </c>
      <c r="I261" t="s">
        <v>1391</v>
      </c>
      <c r="J261" t="b">
        <f>IF(OR(INDEX(OHZ_HAZ_TOTAMOUNT,4,1)&lt;&gt;"",),IF(OR(INDEX(OHZ_HAZ_TOTNETGROSS,4,1)="",INDEX(OHZ_HAZ_TOTUNIT,4,1)="",),FALSE,TRUE),TRUE)</f>
        <v>1</v>
      </c>
      <c r="K261" t="str">
        <f t="shared" si="9"/>
        <v xml:space="preserve">Row 4 - If ‘Total amount’ is given, then ‘Net / Gross’ and ‘Total amount unit’ are required </v>
      </c>
      <c r="L261" t="s">
        <v>1391</v>
      </c>
    </row>
    <row r="262" spans="6:12" x14ac:dyDescent="0.25">
      <c r="F262" t="s">
        <v>1391</v>
      </c>
      <c r="G262" t="b">
        <f>IF(OR(INDEX(IHZ_HAZ_TOTAMOUNT,5,1)&lt;&gt;"",),IF(OR(INDEX(IHZ_HAZ_TOTNETGROSS,5,1)="",INDEX(IHZ_HAZ_TOTUNIT,5,1)="",),FALSE,TRUE),TRUE)</f>
        <v>1</v>
      </c>
      <c r="H262" t="str">
        <f t="shared" si="8"/>
        <v xml:space="preserve">Row 5 - If ‘Total amount’ is given, then ‘Net / Gross’ and ‘Total amount unit’ are required </v>
      </c>
      <c r="I262" t="s">
        <v>1391</v>
      </c>
      <c r="J262" t="b">
        <f>IF(OR(INDEX(OHZ_HAZ_TOTAMOUNT,5,1)&lt;&gt;"",),IF(OR(INDEX(OHZ_HAZ_TOTNETGROSS,5,1)="",INDEX(OHZ_HAZ_TOTUNIT,5,1)="",),FALSE,TRUE),TRUE)</f>
        <v>1</v>
      </c>
      <c r="K262" t="str">
        <f t="shared" si="9"/>
        <v xml:space="preserve">Row 5 - If ‘Total amount’ is given, then ‘Net / Gross’ and ‘Total amount unit’ are required </v>
      </c>
      <c r="L262" t="s">
        <v>1391</v>
      </c>
    </row>
    <row r="263" spans="6:12" x14ac:dyDescent="0.25">
      <c r="F263" t="s">
        <v>1391</v>
      </c>
      <c r="G263" t="b">
        <f>IF(OR(INDEX(IHZ_HAZ_TOTAMOUNT,6,1)&lt;&gt;"",),IF(OR(INDEX(IHZ_HAZ_TOTNETGROSS,6,1)="",INDEX(IHZ_HAZ_TOTUNIT,6,1)="",),FALSE,TRUE),TRUE)</f>
        <v>1</v>
      </c>
      <c r="H263" t="str">
        <f t="shared" si="8"/>
        <v xml:space="preserve">Row 6 - If ‘Total amount’ is given, then ‘Net / Gross’ and ‘Total amount unit’ are required </v>
      </c>
      <c r="I263" t="s">
        <v>1391</v>
      </c>
      <c r="J263" t="b">
        <f>IF(OR(INDEX(OHZ_HAZ_TOTAMOUNT,6,1)&lt;&gt;"",),IF(OR(INDEX(OHZ_HAZ_TOTNETGROSS,6,1)="",INDEX(OHZ_HAZ_TOTUNIT,6,1)="",),FALSE,TRUE),TRUE)</f>
        <v>1</v>
      </c>
      <c r="K263" t="str">
        <f t="shared" si="9"/>
        <v xml:space="preserve">Row 6 - If ‘Total amount’ is given, then ‘Net / Gross’ and ‘Total amount unit’ are required </v>
      </c>
      <c r="L263" t="s">
        <v>1391</v>
      </c>
    </row>
    <row r="264" spans="6:12" x14ac:dyDescent="0.25">
      <c r="F264" t="s">
        <v>1391</v>
      </c>
      <c r="G264" t="b">
        <f>IF(OR(INDEX(IHZ_HAZ_TOTAMOUNT,7,1)&lt;&gt;"",),IF(OR(INDEX(IHZ_HAZ_TOTNETGROSS,7,1)="",INDEX(IHZ_HAZ_TOTUNIT,7,1)="",),FALSE,TRUE),TRUE)</f>
        <v>1</v>
      </c>
      <c r="H264" t="str">
        <f t="shared" si="8"/>
        <v xml:space="preserve">Row 7 - If ‘Total amount’ is given, then ‘Net / Gross’ and ‘Total amount unit’ are required </v>
      </c>
      <c r="I264" t="s">
        <v>1391</v>
      </c>
      <c r="J264" t="b">
        <f>IF(OR(INDEX(OHZ_HAZ_TOTAMOUNT,7,1)&lt;&gt;"",),IF(OR(INDEX(OHZ_HAZ_TOTNETGROSS,7,1)="",INDEX(OHZ_HAZ_TOTUNIT,7,1)="",),FALSE,TRUE),TRUE)</f>
        <v>1</v>
      </c>
      <c r="K264" t="str">
        <f t="shared" si="9"/>
        <v xml:space="preserve">Row 7 - If ‘Total amount’ is given, then ‘Net / Gross’ and ‘Total amount unit’ are required </v>
      </c>
      <c r="L264" t="s">
        <v>1391</v>
      </c>
    </row>
    <row r="265" spans="6:12" x14ac:dyDescent="0.25">
      <c r="F265" t="s">
        <v>1391</v>
      </c>
      <c r="G265" t="b">
        <f>IF(OR(INDEX(IHZ_HAZ_TOTAMOUNT,8,1)&lt;&gt;"",),IF(OR(INDEX(IHZ_HAZ_TOTNETGROSS,8,1)="",INDEX(IHZ_HAZ_TOTUNIT,8,1)="",),FALSE,TRUE),TRUE)</f>
        <v>1</v>
      </c>
      <c r="H265" t="str">
        <f t="shared" si="8"/>
        <v xml:space="preserve">Row 8 - If ‘Total amount’ is given, then ‘Net / Gross’ and ‘Total amount unit’ are required </v>
      </c>
      <c r="I265" t="s">
        <v>1391</v>
      </c>
      <c r="J265" t="b">
        <f>IF(OR(INDEX(OHZ_HAZ_TOTAMOUNT,8,1)&lt;&gt;"",),IF(OR(INDEX(OHZ_HAZ_TOTNETGROSS,8,1)="",INDEX(OHZ_HAZ_TOTUNIT,8,1)="",),FALSE,TRUE),TRUE)</f>
        <v>1</v>
      </c>
      <c r="K265" t="str">
        <f t="shared" si="9"/>
        <v xml:space="preserve">Row 8 - If ‘Total amount’ is given, then ‘Net / Gross’ and ‘Total amount unit’ are required </v>
      </c>
      <c r="L265" t="s">
        <v>1391</v>
      </c>
    </row>
    <row r="266" spans="6:12" x14ac:dyDescent="0.25">
      <c r="F266" t="s">
        <v>1391</v>
      </c>
      <c r="G266" t="b">
        <f>IF(OR(INDEX(IHZ_HAZ_TOTAMOUNT,9,1)&lt;&gt;"",),IF(OR(INDEX(IHZ_HAZ_TOTNETGROSS,9,1)="",INDEX(IHZ_HAZ_TOTUNIT,9,1)="",),FALSE,TRUE),TRUE)</f>
        <v>1</v>
      </c>
      <c r="H266" t="str">
        <f t="shared" si="8"/>
        <v xml:space="preserve">Row 9 - If ‘Total amount’ is given, then ‘Net / Gross’ and ‘Total amount unit’ are required </v>
      </c>
      <c r="I266" t="s">
        <v>1391</v>
      </c>
      <c r="J266" t="b">
        <f>IF(OR(INDEX(OHZ_HAZ_TOTAMOUNT,9,1)&lt;&gt;"",),IF(OR(INDEX(OHZ_HAZ_TOTNETGROSS,9,1)="",INDEX(OHZ_HAZ_TOTUNIT,9,1)="",),FALSE,TRUE),TRUE)</f>
        <v>1</v>
      </c>
      <c r="K266" t="str">
        <f t="shared" si="9"/>
        <v xml:space="preserve">Row 9 - If ‘Total amount’ is given, then ‘Net / Gross’ and ‘Total amount unit’ are required </v>
      </c>
      <c r="L266" t="s">
        <v>1391</v>
      </c>
    </row>
    <row r="267" spans="6:12" x14ac:dyDescent="0.25">
      <c r="F267" t="s">
        <v>1391</v>
      </c>
      <c r="G267" t="b">
        <f>IF(OR(INDEX(IHZ_HAZ_TOTAMOUNT,10,1)&lt;&gt;"",),IF(OR(INDEX(IHZ_HAZ_TOTNETGROSS,10,1)="",INDEX(IHZ_HAZ_TOTUNIT,10,1)="",),FALSE,TRUE),TRUE)</f>
        <v>1</v>
      </c>
      <c r="H267" t="str">
        <f t="shared" si="8"/>
        <v xml:space="preserve">Row 10 - If ‘Total amount’ is given, then ‘Net / Gross’ and ‘Total amount unit’ are required </v>
      </c>
      <c r="I267" t="s">
        <v>1391</v>
      </c>
      <c r="J267" t="b">
        <f>IF(OR(INDEX(OHZ_HAZ_TOTAMOUNT,10,1)&lt;&gt;"",),IF(OR(INDEX(OHZ_HAZ_TOTNETGROSS,10,1)="",INDEX(OHZ_HAZ_TOTUNIT,10,1)="",),FALSE,TRUE),TRUE)</f>
        <v>1</v>
      </c>
      <c r="K267" t="str">
        <f t="shared" si="9"/>
        <v xml:space="preserve">Row 10 - If ‘Total amount’ is given, then ‘Net / Gross’ and ‘Total amount unit’ are required </v>
      </c>
      <c r="L267" t="s">
        <v>1391</v>
      </c>
    </row>
    <row r="268" spans="6:12" x14ac:dyDescent="0.25">
      <c r="F268" t="s">
        <v>1391</v>
      </c>
      <c r="G268" t="b">
        <f>IF(OR(INDEX(IHZ_HAZ_TOTAMOUNT,11,1)&lt;&gt;"",),IF(OR(INDEX(IHZ_HAZ_TOTNETGROSS,11,1)="",INDEX(IHZ_HAZ_TOTUNIT,11,1)="",),FALSE,TRUE),TRUE)</f>
        <v>1</v>
      </c>
      <c r="H268" t="str">
        <f t="shared" si="8"/>
        <v xml:space="preserve">Row 11 - If ‘Total amount’ is given, then ‘Net / Gross’ and ‘Total amount unit’ are required </v>
      </c>
      <c r="I268" t="s">
        <v>1391</v>
      </c>
      <c r="J268" t="b">
        <f>IF(OR(INDEX(OHZ_HAZ_TOTAMOUNT,11,1)&lt;&gt;"",),IF(OR(INDEX(OHZ_HAZ_TOTNETGROSS,11,1)="",INDEX(OHZ_HAZ_TOTUNIT,11,1)="",),FALSE,TRUE),TRUE)</f>
        <v>1</v>
      </c>
      <c r="K268" t="str">
        <f t="shared" si="9"/>
        <v xml:space="preserve">Row 11 - If ‘Total amount’ is given, then ‘Net / Gross’ and ‘Total amount unit’ are required </v>
      </c>
      <c r="L268" t="s">
        <v>1391</v>
      </c>
    </row>
    <row r="269" spans="6:12" x14ac:dyDescent="0.25">
      <c r="F269" t="s">
        <v>1391</v>
      </c>
      <c r="G269" t="b">
        <f>IF(OR(INDEX(IHZ_HAZ_TOTAMOUNT,12,1)&lt;&gt;"",),IF(OR(INDEX(IHZ_HAZ_TOTNETGROSS,12,1)="",INDEX(IHZ_HAZ_TOTUNIT,12,1)="",),FALSE,TRUE),TRUE)</f>
        <v>1</v>
      </c>
      <c r="H269" t="str">
        <f t="shared" si="8"/>
        <v xml:space="preserve">Row 12 - If ‘Total amount’ is given, then ‘Net / Gross’ and ‘Total amount unit’ are required </v>
      </c>
      <c r="I269" t="s">
        <v>1391</v>
      </c>
      <c r="J269" t="b">
        <f>IF(OR(INDEX(OHZ_HAZ_TOTAMOUNT,12,1)&lt;&gt;"",),IF(OR(INDEX(OHZ_HAZ_TOTNETGROSS,12,1)="",INDEX(OHZ_HAZ_TOTUNIT,12,1)="",),FALSE,TRUE),TRUE)</f>
        <v>1</v>
      </c>
      <c r="K269" t="str">
        <f t="shared" si="9"/>
        <v xml:space="preserve">Row 12 - If ‘Total amount’ is given, then ‘Net / Gross’ and ‘Total amount unit’ are required </v>
      </c>
      <c r="L269" t="s">
        <v>1391</v>
      </c>
    </row>
    <row r="270" spans="6:12" x14ac:dyDescent="0.25">
      <c r="F270" t="s">
        <v>1391</v>
      </c>
      <c r="G270" t="b">
        <f>IF(OR(INDEX(IHZ_HAZ_TOTAMOUNT,13,1)&lt;&gt;"",),IF(OR(INDEX(IHZ_HAZ_TOTNETGROSS,13,1)="",INDEX(IHZ_HAZ_TOTUNIT,13,1)="",),FALSE,TRUE),TRUE)</f>
        <v>1</v>
      </c>
      <c r="H270" t="str">
        <f t="shared" si="8"/>
        <v xml:space="preserve">Row 13 - If ‘Total amount’ is given, then ‘Net / Gross’ and ‘Total amount unit’ are required </v>
      </c>
      <c r="I270" t="s">
        <v>1391</v>
      </c>
      <c r="J270" t="b">
        <f>IF(OR(INDEX(OHZ_HAZ_TOTAMOUNT,13,1)&lt;&gt;"",),IF(OR(INDEX(OHZ_HAZ_TOTNETGROSS,13,1)="",INDEX(OHZ_HAZ_TOTUNIT,13,1)="",),FALSE,TRUE),TRUE)</f>
        <v>1</v>
      </c>
      <c r="K270" t="str">
        <f t="shared" si="9"/>
        <v xml:space="preserve">Row 13 - If ‘Total amount’ is given, then ‘Net / Gross’ and ‘Total amount unit’ are required </v>
      </c>
      <c r="L270" t="s">
        <v>1391</v>
      </c>
    </row>
    <row r="271" spans="6:12" x14ac:dyDescent="0.25">
      <c r="F271" t="s">
        <v>1391</v>
      </c>
      <c r="G271" t="b">
        <f>IF(OR(INDEX(IHZ_HAZ_TOTAMOUNT,14,1)&lt;&gt;"",),IF(OR(INDEX(IHZ_HAZ_TOTNETGROSS,14,1)="",INDEX(IHZ_HAZ_TOTUNIT,14,1)="",),FALSE,TRUE),TRUE)</f>
        <v>1</v>
      </c>
      <c r="H271" t="str">
        <f t="shared" si="8"/>
        <v xml:space="preserve">Row 14 - If ‘Total amount’ is given, then ‘Net / Gross’ and ‘Total amount unit’ are required </v>
      </c>
      <c r="I271" t="s">
        <v>1391</v>
      </c>
      <c r="J271" t="b">
        <f>IF(OR(INDEX(OHZ_HAZ_TOTAMOUNT,14,1)&lt;&gt;"",),IF(OR(INDEX(OHZ_HAZ_TOTNETGROSS,14,1)="",INDEX(OHZ_HAZ_TOTUNIT,14,1)="",),FALSE,TRUE),TRUE)</f>
        <v>1</v>
      </c>
      <c r="K271" t="str">
        <f t="shared" si="9"/>
        <v xml:space="preserve">Row 14 - If ‘Total amount’ is given, then ‘Net / Gross’ and ‘Total amount unit’ are required </v>
      </c>
      <c r="L271" t="s">
        <v>1391</v>
      </c>
    </row>
    <row r="272" spans="6:12" x14ac:dyDescent="0.25">
      <c r="F272" t="s">
        <v>1391</v>
      </c>
      <c r="G272" t="b">
        <f>IF(OR(INDEX(IHZ_HAZ_TOTAMOUNT,15,1)&lt;&gt;"",),IF(OR(INDEX(IHZ_HAZ_TOTNETGROSS,15,1)="",INDEX(IHZ_HAZ_TOTUNIT,15,1)="",),FALSE,TRUE),TRUE)</f>
        <v>1</v>
      </c>
      <c r="H272" t="str">
        <f t="shared" si="8"/>
        <v xml:space="preserve">Row 15 - If ‘Total amount’ is given, then ‘Net / Gross’ and ‘Total amount unit’ are required </v>
      </c>
      <c r="I272" t="s">
        <v>1391</v>
      </c>
      <c r="J272" t="b">
        <f>IF(OR(INDEX(OHZ_HAZ_TOTAMOUNT,15,1)&lt;&gt;"",),IF(OR(INDEX(OHZ_HAZ_TOTNETGROSS,15,1)="",INDEX(OHZ_HAZ_TOTUNIT,15,1)="",),FALSE,TRUE),TRUE)</f>
        <v>1</v>
      </c>
      <c r="K272" t="str">
        <f t="shared" si="9"/>
        <v xml:space="preserve">Row 15 - If ‘Total amount’ is given, then ‘Net / Gross’ and ‘Total amount unit’ are required </v>
      </c>
      <c r="L272" t="s">
        <v>1391</v>
      </c>
    </row>
    <row r="273" spans="6:12" x14ac:dyDescent="0.25">
      <c r="F273" t="s">
        <v>1391</v>
      </c>
      <c r="G273" t="b">
        <f>IF(OR(INDEX(IHZ_HAZ_TOTAMOUNT,16,1)&lt;&gt;"",),IF(OR(INDEX(IHZ_HAZ_TOTNETGROSS,16,1)="",INDEX(IHZ_HAZ_TOTUNIT,16,1)="",),FALSE,TRUE),TRUE)</f>
        <v>1</v>
      </c>
      <c r="H273" t="str">
        <f t="shared" si="8"/>
        <v xml:space="preserve">Row 16 - If ‘Total amount’ is given, then ‘Net / Gross’ and ‘Total amount unit’ are required </v>
      </c>
      <c r="I273" t="s">
        <v>1391</v>
      </c>
      <c r="J273" t="b">
        <f>IF(OR(INDEX(OHZ_HAZ_TOTAMOUNT,16,1)&lt;&gt;"",),IF(OR(INDEX(OHZ_HAZ_TOTNETGROSS,16,1)="",INDEX(OHZ_HAZ_TOTUNIT,16,1)="",),FALSE,TRUE),TRUE)</f>
        <v>1</v>
      </c>
      <c r="K273" t="str">
        <f t="shared" si="9"/>
        <v xml:space="preserve">Row 16 - If ‘Total amount’ is given, then ‘Net / Gross’ and ‘Total amount unit’ are required </v>
      </c>
      <c r="L273" t="s">
        <v>1391</v>
      </c>
    </row>
    <row r="274" spans="6:12" x14ac:dyDescent="0.25">
      <c r="F274" t="s">
        <v>1391</v>
      </c>
      <c r="G274" t="b">
        <f>IF(OR(INDEX(IHZ_HAZ_TOTAMOUNT,17,1)&lt;&gt;"",),IF(OR(INDEX(IHZ_HAZ_TOTNETGROSS,17,1)="",INDEX(IHZ_HAZ_TOTUNIT,17,1)="",),FALSE,TRUE),TRUE)</f>
        <v>1</v>
      </c>
      <c r="H274" t="str">
        <f t="shared" si="8"/>
        <v xml:space="preserve">Row 17 - If ‘Total amount’ is given, then ‘Net / Gross’ and ‘Total amount unit’ are required </v>
      </c>
      <c r="I274" t="s">
        <v>1391</v>
      </c>
      <c r="J274" t="b">
        <f>IF(OR(INDEX(OHZ_HAZ_TOTAMOUNT,17,1)&lt;&gt;"",),IF(OR(INDEX(OHZ_HAZ_TOTNETGROSS,17,1)="",INDEX(OHZ_HAZ_TOTUNIT,17,1)="",),FALSE,TRUE),TRUE)</f>
        <v>1</v>
      </c>
      <c r="K274" t="str">
        <f t="shared" si="9"/>
        <v xml:space="preserve">Row 17 - If ‘Total amount’ is given, then ‘Net / Gross’ and ‘Total amount unit’ are required </v>
      </c>
      <c r="L274" t="s">
        <v>1391</v>
      </c>
    </row>
    <row r="275" spans="6:12" x14ac:dyDescent="0.25">
      <c r="F275" t="s">
        <v>1391</v>
      </c>
      <c r="G275" t="b">
        <f>IF(OR(INDEX(IHZ_HAZ_TOTAMOUNT,18,1)&lt;&gt;"",),IF(OR(INDEX(IHZ_HAZ_TOTNETGROSS,18,1)="",INDEX(IHZ_HAZ_TOTUNIT,18,1)="",),FALSE,TRUE),TRUE)</f>
        <v>1</v>
      </c>
      <c r="H275" t="str">
        <f t="shared" si="8"/>
        <v xml:space="preserve">Row 18 - If ‘Total amount’ is given, then ‘Net / Gross’ and ‘Total amount unit’ are required </v>
      </c>
      <c r="I275" t="s">
        <v>1391</v>
      </c>
      <c r="J275" t="b">
        <f>IF(OR(INDEX(OHZ_HAZ_TOTAMOUNT,18,1)&lt;&gt;"",),IF(OR(INDEX(OHZ_HAZ_TOTNETGROSS,18,1)="",INDEX(OHZ_HAZ_TOTUNIT,18,1)="",),FALSE,TRUE),TRUE)</f>
        <v>1</v>
      </c>
      <c r="K275" t="str">
        <f t="shared" si="9"/>
        <v xml:space="preserve">Row 18 - If ‘Total amount’ is given, then ‘Net / Gross’ and ‘Total amount unit’ are required </v>
      </c>
      <c r="L275" t="s">
        <v>1391</v>
      </c>
    </row>
    <row r="276" spans="6:12" x14ac:dyDescent="0.25">
      <c r="F276" t="s">
        <v>1391</v>
      </c>
      <c r="G276" t="b">
        <f>IF(OR(INDEX(IHZ_HAZ_TOTAMOUNT,19,1)&lt;&gt;"",),IF(OR(INDEX(IHZ_HAZ_TOTNETGROSS,19,1)="",INDEX(IHZ_HAZ_TOTUNIT,19,1)="",),FALSE,TRUE),TRUE)</f>
        <v>1</v>
      </c>
      <c r="H276" t="str">
        <f t="shared" si="8"/>
        <v xml:space="preserve">Row 19 - If ‘Total amount’ is given, then ‘Net / Gross’ and ‘Total amount unit’ are required </v>
      </c>
      <c r="I276" t="s">
        <v>1391</v>
      </c>
      <c r="J276" t="b">
        <f>IF(OR(INDEX(OHZ_HAZ_TOTAMOUNT,19,1)&lt;&gt;"",),IF(OR(INDEX(OHZ_HAZ_TOTNETGROSS,19,1)="",INDEX(OHZ_HAZ_TOTUNIT,19,1)="",),FALSE,TRUE),TRUE)</f>
        <v>1</v>
      </c>
      <c r="K276" t="str">
        <f t="shared" si="9"/>
        <v xml:space="preserve">Row 19 - If ‘Total amount’ is given, then ‘Net / Gross’ and ‘Total amount unit’ are required </v>
      </c>
      <c r="L276" t="s">
        <v>1391</v>
      </c>
    </row>
    <row r="277" spans="6:12" x14ac:dyDescent="0.25">
      <c r="F277" t="s">
        <v>1391</v>
      </c>
      <c r="G277" t="b">
        <f>IF(OR(INDEX(IHZ_HAZ_TOTAMOUNT,20,1)&lt;&gt;"",),IF(OR(INDEX(IHZ_HAZ_TOTNETGROSS,20,1)="",INDEX(IHZ_HAZ_TOTUNIT,20,1)="",),FALSE,TRUE),TRUE)</f>
        <v>1</v>
      </c>
      <c r="H277" t="str">
        <f t="shared" si="8"/>
        <v xml:space="preserve">Row 20 - If ‘Total amount’ is given, then ‘Net / Gross’ and ‘Total amount unit’ are required </v>
      </c>
      <c r="I277" t="s">
        <v>1391</v>
      </c>
      <c r="J277" t="b">
        <f>IF(OR(INDEX(OHZ_HAZ_TOTAMOUNT,20,1)&lt;&gt;"",),IF(OR(INDEX(OHZ_HAZ_TOTNETGROSS,20,1)="",INDEX(OHZ_HAZ_TOTUNIT,20,1)="",),FALSE,TRUE),TRUE)</f>
        <v>1</v>
      </c>
      <c r="K277" t="str">
        <f t="shared" si="9"/>
        <v xml:space="preserve">Row 20 - If ‘Total amount’ is given, then ‘Net / Gross’ and ‘Total amount unit’ are required </v>
      </c>
      <c r="L277" t="s">
        <v>1391</v>
      </c>
    </row>
    <row r="278" spans="6:12" x14ac:dyDescent="0.25">
      <c r="F278" t="s">
        <v>1391</v>
      </c>
      <c r="G278" t="b">
        <f>IF(OR(INDEX(IHZ_HAZ_TOTAMOUNT,21,1)&lt;&gt;"",),IF(OR(INDEX(IHZ_HAZ_TOTNETGROSS,21,1)="",INDEX(IHZ_HAZ_TOTUNIT,21,1)="",),FALSE,TRUE),TRUE)</f>
        <v>1</v>
      </c>
      <c r="H278" t="str">
        <f t="shared" si="8"/>
        <v xml:space="preserve">Row 21 - If ‘Total amount’ is given, then ‘Net / Gross’ and ‘Total amount unit’ are required </v>
      </c>
      <c r="I278" t="s">
        <v>1391</v>
      </c>
      <c r="J278" t="b">
        <f>IF(OR(INDEX(OHZ_HAZ_TOTAMOUNT,21,1)&lt;&gt;"",),IF(OR(INDEX(OHZ_HAZ_TOTNETGROSS,21,1)="",INDEX(OHZ_HAZ_TOTUNIT,21,1)="",),FALSE,TRUE),TRUE)</f>
        <v>1</v>
      </c>
      <c r="K278" t="str">
        <f t="shared" si="9"/>
        <v xml:space="preserve">Row 21 - If ‘Total amount’ is given, then ‘Net / Gross’ and ‘Total amount unit’ are required </v>
      </c>
      <c r="L278" t="s">
        <v>1391</v>
      </c>
    </row>
    <row r="279" spans="6:12" x14ac:dyDescent="0.25">
      <c r="F279" t="s">
        <v>1391</v>
      </c>
      <c r="G279" t="b">
        <f>IF(OR(INDEX(IHZ_HAZ_TOTAMOUNT,22,1)&lt;&gt;"",),IF(OR(INDEX(IHZ_HAZ_TOTNETGROSS,22,1)="",INDEX(IHZ_HAZ_TOTUNIT,22,1)="",),FALSE,TRUE),TRUE)</f>
        <v>1</v>
      </c>
      <c r="H279" t="str">
        <f t="shared" si="8"/>
        <v xml:space="preserve">Row 22 - If ‘Total amount’ is given, then ‘Net / Gross’ and ‘Total amount unit’ are required </v>
      </c>
      <c r="I279" t="s">
        <v>1391</v>
      </c>
      <c r="J279" t="b">
        <f>IF(OR(INDEX(OHZ_HAZ_TOTAMOUNT,22,1)&lt;&gt;"",),IF(OR(INDEX(OHZ_HAZ_TOTNETGROSS,22,1)="",INDEX(OHZ_HAZ_TOTUNIT,22,1)="",),FALSE,TRUE),TRUE)</f>
        <v>1</v>
      </c>
      <c r="K279" t="str">
        <f t="shared" si="9"/>
        <v xml:space="preserve">Row 22 - If ‘Total amount’ is given, then ‘Net / Gross’ and ‘Total amount unit’ are required </v>
      </c>
      <c r="L279" t="s">
        <v>1391</v>
      </c>
    </row>
    <row r="280" spans="6:12" x14ac:dyDescent="0.25">
      <c r="F280" t="s">
        <v>1391</v>
      </c>
      <c r="G280" t="b">
        <f>IF(OR(INDEX(IHZ_HAZ_TOTAMOUNT,23,1)&lt;&gt;"",),IF(OR(INDEX(IHZ_HAZ_TOTNETGROSS,23,1)="",INDEX(IHZ_HAZ_TOTUNIT,23,1)="",),FALSE,TRUE),TRUE)</f>
        <v>1</v>
      </c>
      <c r="H280" t="str">
        <f t="shared" si="8"/>
        <v xml:space="preserve">Row 23 - If ‘Total amount’ is given, then ‘Net / Gross’ and ‘Total amount unit’ are required </v>
      </c>
      <c r="I280" t="s">
        <v>1391</v>
      </c>
      <c r="J280" t="b">
        <f>IF(OR(INDEX(OHZ_HAZ_TOTAMOUNT,23,1)&lt;&gt;"",),IF(OR(INDEX(OHZ_HAZ_TOTNETGROSS,23,1)="",INDEX(OHZ_HAZ_TOTUNIT,23,1)="",),FALSE,TRUE),TRUE)</f>
        <v>1</v>
      </c>
      <c r="K280" t="str">
        <f t="shared" si="9"/>
        <v xml:space="preserve">Row 23 - If ‘Total amount’ is given, then ‘Net / Gross’ and ‘Total amount unit’ are required </v>
      </c>
      <c r="L280" t="s">
        <v>1391</v>
      </c>
    </row>
    <row r="281" spans="6:12" x14ac:dyDescent="0.25">
      <c r="F281" t="s">
        <v>1391</v>
      </c>
      <c r="G281" t="b">
        <f>IF(OR(INDEX(IHZ_HAZ_TOTAMOUNT,24,1)&lt;&gt;"",),IF(OR(INDEX(IHZ_HAZ_TOTNETGROSS,24,1)="",INDEX(IHZ_HAZ_TOTUNIT,24,1)="",),FALSE,TRUE),TRUE)</f>
        <v>1</v>
      </c>
      <c r="H281" t="str">
        <f t="shared" si="8"/>
        <v xml:space="preserve">Row 24 - If ‘Total amount’ is given, then ‘Net / Gross’ and ‘Total amount unit’ are required </v>
      </c>
      <c r="I281" t="s">
        <v>1391</v>
      </c>
      <c r="J281" t="b">
        <f>IF(OR(INDEX(OHZ_HAZ_TOTAMOUNT,24,1)&lt;&gt;"",),IF(OR(INDEX(OHZ_HAZ_TOTNETGROSS,24,1)="",INDEX(OHZ_HAZ_TOTUNIT,24,1)="",),FALSE,TRUE),TRUE)</f>
        <v>1</v>
      </c>
      <c r="K281" t="str">
        <f t="shared" si="9"/>
        <v xml:space="preserve">Row 24 - If ‘Total amount’ is given, then ‘Net / Gross’ and ‘Total amount unit’ are required </v>
      </c>
      <c r="L281" t="s">
        <v>1391</v>
      </c>
    </row>
    <row r="282" spans="6:12" x14ac:dyDescent="0.25">
      <c r="F282" t="s">
        <v>1391</v>
      </c>
      <c r="G282" t="b">
        <f>IF(OR(INDEX(IHZ_HAZ_TOTAMOUNT,25,1)&lt;&gt;"",),IF(OR(INDEX(IHZ_HAZ_TOTNETGROSS,25,1)="",INDEX(IHZ_HAZ_TOTUNIT,25,1)="",),FALSE,TRUE),TRUE)</f>
        <v>1</v>
      </c>
      <c r="H282" t="str">
        <f t="shared" si="8"/>
        <v xml:space="preserve">Row 25 - If ‘Total amount’ is given, then ‘Net / Gross’ and ‘Total amount unit’ are required </v>
      </c>
      <c r="I282" t="s">
        <v>1391</v>
      </c>
      <c r="J282" t="b">
        <f>IF(OR(INDEX(OHZ_HAZ_TOTAMOUNT,25,1)&lt;&gt;"",),IF(OR(INDEX(OHZ_HAZ_TOTNETGROSS,25,1)="",INDEX(OHZ_HAZ_TOTUNIT,25,1)="",),FALSE,TRUE),TRUE)</f>
        <v>1</v>
      </c>
      <c r="K282" t="str">
        <f t="shared" si="9"/>
        <v xml:space="preserve">Row 25 - If ‘Total amount’ is given, then ‘Net / Gross’ and ‘Total amount unit’ are required </v>
      </c>
      <c r="L282" t="s">
        <v>1391</v>
      </c>
    </row>
    <row r="283" spans="6:12" x14ac:dyDescent="0.25">
      <c r="F283" t="s">
        <v>1391</v>
      </c>
      <c r="G283" t="b">
        <f>IF(OR(INDEX(IHZ_HAZ_TOTAMOUNT,26,1)&lt;&gt;"",),IF(OR(INDEX(IHZ_HAZ_TOTNETGROSS,26,1)="",INDEX(IHZ_HAZ_TOTUNIT,26,1)="",),FALSE,TRUE),TRUE)</f>
        <v>1</v>
      </c>
      <c r="H283" t="str">
        <f t="shared" si="8"/>
        <v xml:space="preserve">Row 26 - If ‘Total amount’ is given, then ‘Net / Gross’ and ‘Total amount unit’ are required </v>
      </c>
      <c r="I283" t="s">
        <v>1391</v>
      </c>
      <c r="J283" t="b">
        <f>IF(OR(INDEX(OHZ_HAZ_TOTAMOUNT,26,1)&lt;&gt;"",),IF(OR(INDEX(OHZ_HAZ_TOTNETGROSS,26,1)="",INDEX(OHZ_HAZ_TOTUNIT,26,1)="",),FALSE,TRUE),TRUE)</f>
        <v>1</v>
      </c>
      <c r="K283" t="str">
        <f t="shared" si="9"/>
        <v xml:space="preserve">Row 26 - If ‘Total amount’ is given, then ‘Net / Gross’ and ‘Total amount unit’ are required </v>
      </c>
      <c r="L283" t="s">
        <v>1391</v>
      </c>
    </row>
    <row r="284" spans="6:12" x14ac:dyDescent="0.25">
      <c r="F284" t="s">
        <v>1391</v>
      </c>
      <c r="G284" t="b">
        <f>IF(OR(INDEX(IHZ_HAZ_TOTAMOUNT,27,1)&lt;&gt;"",),IF(OR(INDEX(IHZ_HAZ_TOTNETGROSS,27,1)="",INDEX(IHZ_HAZ_TOTUNIT,27,1)="",),FALSE,TRUE),TRUE)</f>
        <v>1</v>
      </c>
      <c r="H284" t="str">
        <f t="shared" si="8"/>
        <v xml:space="preserve">Row 27 - If ‘Total amount’ is given, then ‘Net / Gross’ and ‘Total amount unit’ are required </v>
      </c>
      <c r="I284" t="s">
        <v>1391</v>
      </c>
      <c r="J284" t="b">
        <f>IF(OR(INDEX(OHZ_HAZ_TOTAMOUNT,27,1)&lt;&gt;"",),IF(OR(INDEX(OHZ_HAZ_TOTNETGROSS,27,1)="",INDEX(OHZ_HAZ_TOTUNIT,27,1)="",),FALSE,TRUE),TRUE)</f>
        <v>1</v>
      </c>
      <c r="K284" t="str">
        <f t="shared" si="9"/>
        <v xml:space="preserve">Row 27 - If ‘Total amount’ is given, then ‘Net / Gross’ and ‘Total amount unit’ are required </v>
      </c>
      <c r="L284" t="s">
        <v>1391</v>
      </c>
    </row>
    <row r="285" spans="6:12" x14ac:dyDescent="0.25">
      <c r="F285" t="s">
        <v>1391</v>
      </c>
      <c r="G285" t="b">
        <f>IF(OR(INDEX(IHZ_HAZ_TOTAMOUNT,28,1)&lt;&gt;"",),IF(OR(INDEX(IHZ_HAZ_TOTNETGROSS,28,1)="",INDEX(IHZ_HAZ_TOTUNIT,28,1)="",),FALSE,TRUE),TRUE)</f>
        <v>1</v>
      </c>
      <c r="H285" t="str">
        <f t="shared" si="8"/>
        <v xml:space="preserve">Row 28 - If ‘Total amount’ is given, then ‘Net / Gross’ and ‘Total amount unit’ are required </v>
      </c>
      <c r="I285" t="s">
        <v>1391</v>
      </c>
      <c r="J285" t="b">
        <f>IF(OR(INDEX(OHZ_HAZ_TOTAMOUNT,28,1)&lt;&gt;"",),IF(OR(INDEX(OHZ_HAZ_TOTNETGROSS,28,1)="",INDEX(OHZ_HAZ_TOTUNIT,28,1)="",),FALSE,TRUE),TRUE)</f>
        <v>1</v>
      </c>
      <c r="K285" t="str">
        <f t="shared" si="9"/>
        <v xml:space="preserve">Row 28 - If ‘Total amount’ is given, then ‘Net / Gross’ and ‘Total amount unit’ are required </v>
      </c>
      <c r="L285" t="s">
        <v>1391</v>
      </c>
    </row>
    <row r="286" spans="6:12" x14ac:dyDescent="0.25">
      <c r="F286" t="s">
        <v>1391</v>
      </c>
      <c r="G286" t="b">
        <f>IF(OR(INDEX(IHZ_HAZ_TOTAMOUNT,29,1)&lt;&gt;"",),IF(OR(INDEX(IHZ_HAZ_TOTNETGROSS,29,1)="",INDEX(IHZ_HAZ_TOTUNIT,29,1)="",),FALSE,TRUE),TRUE)</f>
        <v>1</v>
      </c>
      <c r="H286" t="str">
        <f t="shared" si="8"/>
        <v xml:space="preserve">Row 29 - If ‘Total amount’ is given, then ‘Net / Gross’ and ‘Total amount unit’ are required </v>
      </c>
      <c r="I286" t="s">
        <v>1391</v>
      </c>
      <c r="J286" t="b">
        <f>IF(OR(INDEX(OHZ_HAZ_TOTAMOUNT,29,1)&lt;&gt;"",),IF(OR(INDEX(OHZ_HAZ_TOTNETGROSS,29,1)="",INDEX(OHZ_HAZ_TOTUNIT,29,1)="",),FALSE,TRUE),TRUE)</f>
        <v>1</v>
      </c>
      <c r="K286" t="str">
        <f t="shared" si="9"/>
        <v xml:space="preserve">Row 29 - If ‘Total amount’ is given, then ‘Net / Gross’ and ‘Total amount unit’ are required </v>
      </c>
      <c r="L286" t="s">
        <v>1391</v>
      </c>
    </row>
    <row r="287" spans="6:12" x14ac:dyDescent="0.25">
      <c r="F287" t="s">
        <v>1391</v>
      </c>
      <c r="G287" t="b">
        <f>IF(OR(INDEX(IHZ_HAZ_TOTAMOUNT,30,1)&lt;&gt;"",),IF(OR(INDEX(IHZ_HAZ_TOTNETGROSS,30,1)="",INDEX(IHZ_HAZ_TOTUNIT,30,1)="",),FALSE,TRUE),TRUE)</f>
        <v>1</v>
      </c>
      <c r="H287" t="str">
        <f t="shared" si="8"/>
        <v xml:space="preserve">Row 30 - If ‘Total amount’ is given, then ‘Net / Gross’ and ‘Total amount unit’ are required </v>
      </c>
      <c r="I287" t="s">
        <v>1391</v>
      </c>
      <c r="J287" t="b">
        <f>IF(OR(INDEX(OHZ_HAZ_TOTAMOUNT,30,1)&lt;&gt;"",),IF(OR(INDEX(OHZ_HAZ_TOTNETGROSS,30,1)="",INDEX(OHZ_HAZ_TOTUNIT,30,1)="",),FALSE,TRUE),TRUE)</f>
        <v>1</v>
      </c>
      <c r="K287" t="str">
        <f t="shared" si="9"/>
        <v xml:space="preserve">Row 30 - If ‘Total amount’ is given, then ‘Net / Gross’ and ‘Total amount unit’ are required </v>
      </c>
      <c r="L287" t="s">
        <v>1391</v>
      </c>
    </row>
    <row r="288" spans="6:12" x14ac:dyDescent="0.25">
      <c r="F288" t="s">
        <v>1391</v>
      </c>
      <c r="G288" t="b">
        <f>IF(OR(INDEX(IHZ_HAZ_TOTAMOUNT,31,1)&lt;&gt;"",),IF(OR(INDEX(IHZ_HAZ_TOTNETGROSS,31,1)="",INDEX(IHZ_HAZ_TOTUNIT,31,1)="",),FALSE,TRUE),TRUE)</f>
        <v>1</v>
      </c>
      <c r="H288" t="str">
        <f t="shared" si="8"/>
        <v xml:space="preserve">Row 31 - If ‘Total amount’ is given, then ‘Net / Gross’ and ‘Total amount unit’ are required </v>
      </c>
      <c r="I288" t="s">
        <v>1391</v>
      </c>
      <c r="J288" t="b">
        <f>IF(OR(INDEX(OHZ_HAZ_TOTAMOUNT,31,1)&lt;&gt;"",),IF(OR(INDEX(OHZ_HAZ_TOTNETGROSS,31,1)="",INDEX(OHZ_HAZ_TOTUNIT,31,1)="",),FALSE,TRUE),TRUE)</f>
        <v>1</v>
      </c>
      <c r="K288" t="str">
        <f t="shared" si="9"/>
        <v xml:space="preserve">Row 31 - If ‘Total amount’ is given, then ‘Net / Gross’ and ‘Total amount unit’ are required </v>
      </c>
      <c r="L288" t="s">
        <v>1391</v>
      </c>
    </row>
    <row r="289" spans="6:12" x14ac:dyDescent="0.25">
      <c r="F289" t="s">
        <v>1391</v>
      </c>
      <c r="G289" t="b">
        <f>IF(OR(INDEX(IHZ_HAZ_TOTAMOUNT,32,1)&lt;&gt;"",),IF(OR(INDEX(IHZ_HAZ_TOTNETGROSS,32,1)="",INDEX(IHZ_HAZ_TOTUNIT,32,1)="",),FALSE,TRUE),TRUE)</f>
        <v>1</v>
      </c>
      <c r="H289" t="str">
        <f t="shared" si="8"/>
        <v xml:space="preserve">Row 32 - If ‘Total amount’ is given, then ‘Net / Gross’ and ‘Total amount unit’ are required </v>
      </c>
      <c r="I289" t="s">
        <v>1391</v>
      </c>
      <c r="J289" t="b">
        <f>IF(OR(INDEX(OHZ_HAZ_TOTAMOUNT,32,1)&lt;&gt;"",),IF(OR(INDEX(OHZ_HAZ_TOTNETGROSS,32,1)="",INDEX(OHZ_HAZ_TOTUNIT,32,1)="",),FALSE,TRUE),TRUE)</f>
        <v>1</v>
      </c>
      <c r="K289" t="str">
        <f t="shared" si="9"/>
        <v xml:space="preserve">Row 32 - If ‘Total amount’ is given, then ‘Net / Gross’ and ‘Total amount unit’ are required </v>
      </c>
      <c r="L289" t="s">
        <v>1391</v>
      </c>
    </row>
    <row r="290" spans="6:12" x14ac:dyDescent="0.25">
      <c r="F290" t="s">
        <v>1391</v>
      </c>
      <c r="G290" t="b">
        <f>IF(OR(INDEX(IHZ_HAZ_TOTAMOUNT,33,1)&lt;&gt;"",),IF(OR(INDEX(IHZ_HAZ_TOTNETGROSS,33,1)="",INDEX(IHZ_HAZ_TOTUNIT,33,1)="",),FALSE,TRUE),TRUE)</f>
        <v>1</v>
      </c>
      <c r="H290" t="str">
        <f t="shared" si="8"/>
        <v xml:space="preserve">Row 33 - If ‘Total amount’ is given, then ‘Net / Gross’ and ‘Total amount unit’ are required </v>
      </c>
      <c r="I290" t="s">
        <v>1391</v>
      </c>
      <c r="J290" t="b">
        <f>IF(OR(INDEX(OHZ_HAZ_TOTAMOUNT,33,1)&lt;&gt;"",),IF(OR(INDEX(OHZ_HAZ_TOTNETGROSS,33,1)="",INDEX(OHZ_HAZ_TOTUNIT,33,1)="",),FALSE,TRUE),TRUE)</f>
        <v>1</v>
      </c>
      <c r="K290" t="str">
        <f t="shared" si="9"/>
        <v xml:space="preserve">Row 33 - If ‘Total amount’ is given, then ‘Net / Gross’ and ‘Total amount unit’ are required </v>
      </c>
      <c r="L290" t="s">
        <v>1391</v>
      </c>
    </row>
    <row r="291" spans="6:12" x14ac:dyDescent="0.25">
      <c r="F291" t="s">
        <v>1391</v>
      </c>
      <c r="G291" t="b">
        <f>IF(OR(INDEX(IHZ_HAZ_TOTAMOUNT,34,1)&lt;&gt;"",),IF(OR(INDEX(IHZ_HAZ_TOTNETGROSS,34,1)="",INDEX(IHZ_HAZ_TOTUNIT,34,1)="",),FALSE,TRUE),TRUE)</f>
        <v>1</v>
      </c>
      <c r="H291" t="str">
        <f t="shared" si="8"/>
        <v xml:space="preserve">Row 34 - If ‘Total amount’ is given, then ‘Net / Gross’ and ‘Total amount unit’ are required </v>
      </c>
      <c r="I291" t="s">
        <v>1391</v>
      </c>
      <c r="J291" t="b">
        <f>IF(OR(INDEX(OHZ_HAZ_TOTAMOUNT,34,1)&lt;&gt;"",),IF(OR(INDEX(OHZ_HAZ_TOTNETGROSS,34,1)="",INDEX(OHZ_HAZ_TOTUNIT,34,1)="",),FALSE,TRUE),TRUE)</f>
        <v>1</v>
      </c>
      <c r="K291" t="str">
        <f t="shared" si="9"/>
        <v xml:space="preserve">Row 34 - If ‘Total amount’ is given, then ‘Net / Gross’ and ‘Total amount unit’ are required </v>
      </c>
      <c r="L291" t="s">
        <v>1391</v>
      </c>
    </row>
    <row r="292" spans="6:12" x14ac:dyDescent="0.25">
      <c r="F292" t="s">
        <v>1391</v>
      </c>
      <c r="G292" t="b">
        <f>IF(OR(INDEX(IHZ_HAZ_TOTAMOUNT,35,1)&lt;&gt;"",),IF(OR(INDEX(IHZ_HAZ_TOTNETGROSS,35,1)="",INDEX(IHZ_HAZ_TOTUNIT,35,1)="",),FALSE,TRUE),TRUE)</f>
        <v>1</v>
      </c>
      <c r="H292" t="str">
        <f t="shared" si="8"/>
        <v xml:space="preserve">Row 35 - If ‘Total amount’ is given, then ‘Net / Gross’ and ‘Total amount unit’ are required </v>
      </c>
      <c r="I292" t="s">
        <v>1391</v>
      </c>
      <c r="J292" t="b">
        <f>IF(OR(INDEX(OHZ_HAZ_TOTAMOUNT,35,1)&lt;&gt;"",),IF(OR(INDEX(OHZ_HAZ_TOTNETGROSS,35,1)="",INDEX(OHZ_HAZ_TOTUNIT,35,1)="",),FALSE,TRUE),TRUE)</f>
        <v>1</v>
      </c>
      <c r="K292" t="str">
        <f t="shared" si="9"/>
        <v xml:space="preserve">Row 35 - If ‘Total amount’ is given, then ‘Net / Gross’ and ‘Total amount unit’ are required </v>
      </c>
      <c r="L292" t="s">
        <v>1391</v>
      </c>
    </row>
    <row r="293" spans="6:12" x14ac:dyDescent="0.25">
      <c r="F293" t="s">
        <v>1391</v>
      </c>
      <c r="G293" t="b">
        <f>IF(OR(INDEX(IHZ_HAZ_TOTAMOUNT,36,1)&lt;&gt;"",),IF(OR(INDEX(IHZ_HAZ_TOTNETGROSS,36,1)="",INDEX(IHZ_HAZ_TOTUNIT,36,1)="",),FALSE,TRUE),TRUE)</f>
        <v>1</v>
      </c>
      <c r="H293" t="str">
        <f t="shared" si="8"/>
        <v xml:space="preserve">Row 36 - If ‘Total amount’ is given, then ‘Net / Gross’ and ‘Total amount unit’ are required </v>
      </c>
      <c r="I293" t="s">
        <v>1391</v>
      </c>
      <c r="J293" t="b">
        <f>IF(OR(INDEX(OHZ_HAZ_TOTAMOUNT,36,1)&lt;&gt;"",),IF(OR(INDEX(OHZ_HAZ_TOTNETGROSS,36,1)="",INDEX(OHZ_HAZ_TOTUNIT,36,1)="",),FALSE,TRUE),TRUE)</f>
        <v>1</v>
      </c>
      <c r="K293" t="str">
        <f t="shared" si="9"/>
        <v xml:space="preserve">Row 36 - If ‘Total amount’ is given, then ‘Net / Gross’ and ‘Total amount unit’ are required </v>
      </c>
      <c r="L293" t="s">
        <v>1391</v>
      </c>
    </row>
    <row r="294" spans="6:12" x14ac:dyDescent="0.25">
      <c r="F294" t="s">
        <v>1391</v>
      </c>
      <c r="G294" t="b">
        <f>IF(OR(INDEX(IHZ_HAZ_TOTAMOUNT,37,1)&lt;&gt;"",),IF(OR(INDEX(IHZ_HAZ_TOTNETGROSS,37,1)="",INDEX(IHZ_HAZ_TOTUNIT,37,1)="",),FALSE,TRUE),TRUE)</f>
        <v>1</v>
      </c>
      <c r="H294" t="str">
        <f t="shared" si="8"/>
        <v xml:space="preserve">Row 37 - If ‘Total amount’ is given, then ‘Net / Gross’ and ‘Total amount unit’ are required </v>
      </c>
      <c r="I294" t="s">
        <v>1391</v>
      </c>
      <c r="J294" t="b">
        <f>IF(OR(INDEX(OHZ_HAZ_TOTAMOUNT,37,1)&lt;&gt;"",),IF(OR(INDEX(OHZ_HAZ_TOTNETGROSS,37,1)="",INDEX(OHZ_HAZ_TOTUNIT,37,1)="",),FALSE,TRUE),TRUE)</f>
        <v>1</v>
      </c>
      <c r="K294" t="str">
        <f t="shared" si="9"/>
        <v xml:space="preserve">Row 37 - If ‘Total amount’ is given, then ‘Net / Gross’ and ‘Total amount unit’ are required </v>
      </c>
      <c r="L294" t="s">
        <v>1391</v>
      </c>
    </row>
    <row r="295" spans="6:12" x14ac:dyDescent="0.25">
      <c r="F295" t="s">
        <v>1391</v>
      </c>
      <c r="G295" t="b">
        <f>IF(OR(INDEX(IHZ_HAZ_TOTAMOUNT,38,1)&lt;&gt;"",),IF(OR(INDEX(IHZ_HAZ_TOTNETGROSS,38,1)="",INDEX(IHZ_HAZ_TOTUNIT,38,1)="",),FALSE,TRUE),TRUE)</f>
        <v>1</v>
      </c>
      <c r="H295" t="str">
        <f t="shared" si="8"/>
        <v xml:space="preserve">Row 38 - If ‘Total amount’ is given, then ‘Net / Gross’ and ‘Total amount unit’ are required </v>
      </c>
      <c r="I295" t="s">
        <v>1391</v>
      </c>
      <c r="J295" t="b">
        <f>IF(OR(INDEX(OHZ_HAZ_TOTAMOUNT,38,1)&lt;&gt;"",),IF(OR(INDEX(OHZ_HAZ_TOTNETGROSS,38,1)="",INDEX(OHZ_HAZ_TOTUNIT,38,1)="",),FALSE,TRUE),TRUE)</f>
        <v>1</v>
      </c>
      <c r="K295" t="str">
        <f t="shared" si="9"/>
        <v xml:space="preserve">Row 38 - If ‘Total amount’ is given, then ‘Net / Gross’ and ‘Total amount unit’ are required </v>
      </c>
      <c r="L295" t="s">
        <v>1391</v>
      </c>
    </row>
    <row r="296" spans="6:12" x14ac:dyDescent="0.25">
      <c r="F296" t="s">
        <v>1391</v>
      </c>
      <c r="G296" t="b">
        <f>IF(OR(INDEX(IHZ_HAZ_TOTAMOUNT,39,1)&lt;&gt;"",),IF(OR(INDEX(IHZ_HAZ_TOTNETGROSS,39,1)="",INDEX(IHZ_HAZ_TOTUNIT,39,1)="",),FALSE,TRUE),TRUE)</f>
        <v>1</v>
      </c>
      <c r="H296" t="str">
        <f t="shared" si="8"/>
        <v xml:space="preserve">Row 39 - If ‘Total amount’ is given, then ‘Net / Gross’ and ‘Total amount unit’ are required </v>
      </c>
      <c r="I296" t="s">
        <v>1391</v>
      </c>
      <c r="J296" t="b">
        <f>IF(OR(INDEX(OHZ_HAZ_TOTAMOUNT,39,1)&lt;&gt;"",),IF(OR(INDEX(OHZ_HAZ_TOTNETGROSS,39,1)="",INDEX(OHZ_HAZ_TOTUNIT,39,1)="",),FALSE,TRUE),TRUE)</f>
        <v>1</v>
      </c>
      <c r="K296" t="str">
        <f t="shared" si="9"/>
        <v xml:space="preserve">Row 39 - If ‘Total amount’ is given, then ‘Net / Gross’ and ‘Total amount unit’ are required </v>
      </c>
      <c r="L296" t="s">
        <v>1391</v>
      </c>
    </row>
    <row r="297" spans="6:12" x14ac:dyDescent="0.25">
      <c r="F297" t="s">
        <v>1391</v>
      </c>
      <c r="G297" t="b">
        <f>IF(OR(INDEX(IHZ_HAZ_TOTAMOUNT,40,1)&lt;&gt;"",),IF(OR(INDEX(IHZ_HAZ_TOTNETGROSS,40,1)="",INDEX(IHZ_HAZ_TOTUNIT,40,1)="",),FALSE,TRUE),TRUE)</f>
        <v>1</v>
      </c>
      <c r="H297" t="str">
        <f t="shared" si="8"/>
        <v xml:space="preserve">Row 40 - If ‘Total amount’ is given, then ‘Net / Gross’ and ‘Total amount unit’ are required </v>
      </c>
      <c r="I297" t="s">
        <v>1391</v>
      </c>
      <c r="J297" t="b">
        <f>IF(OR(INDEX(OHZ_HAZ_TOTAMOUNT,40,1)&lt;&gt;"",),IF(OR(INDEX(OHZ_HAZ_TOTNETGROSS,40,1)="",INDEX(OHZ_HAZ_TOTUNIT,40,1)="",),FALSE,TRUE),TRUE)</f>
        <v>1</v>
      </c>
      <c r="K297" t="str">
        <f t="shared" si="9"/>
        <v xml:space="preserve">Row 40 - If ‘Total amount’ is given, then ‘Net / Gross’ and ‘Total amount unit’ are required </v>
      </c>
      <c r="L297" t="s">
        <v>1391</v>
      </c>
    </row>
    <row r="298" spans="6:12" x14ac:dyDescent="0.25">
      <c r="F298" t="s">
        <v>1391</v>
      </c>
      <c r="G298" t="b">
        <f>IF(OR(INDEX(IHZ_HAZ_TOTAMOUNT,41,1)&lt;&gt;"",),IF(OR(INDEX(IHZ_HAZ_TOTNETGROSS,41,1)="",INDEX(IHZ_HAZ_TOTUNIT,41,1)="",),FALSE,TRUE),TRUE)</f>
        <v>1</v>
      </c>
      <c r="H298" t="str">
        <f t="shared" si="8"/>
        <v xml:space="preserve">Row 41 - If ‘Total amount’ is given, then ‘Net / Gross’ and ‘Total amount unit’ are required </v>
      </c>
      <c r="I298" t="s">
        <v>1391</v>
      </c>
      <c r="J298" t="b">
        <f>IF(OR(INDEX(OHZ_HAZ_TOTAMOUNT,41,1)&lt;&gt;"",),IF(OR(INDEX(OHZ_HAZ_TOTNETGROSS,41,1)="",INDEX(OHZ_HAZ_TOTUNIT,41,1)="",),FALSE,TRUE),TRUE)</f>
        <v>1</v>
      </c>
      <c r="K298" t="str">
        <f t="shared" si="9"/>
        <v xml:space="preserve">Row 41 - If ‘Total amount’ is given, then ‘Net / Gross’ and ‘Total amount unit’ are required </v>
      </c>
      <c r="L298" t="s">
        <v>1391</v>
      </c>
    </row>
    <row r="299" spans="6:12" x14ac:dyDescent="0.25">
      <c r="F299" t="s">
        <v>1391</v>
      </c>
      <c r="G299" t="b">
        <f>IF(OR(INDEX(IHZ_HAZ_TOTAMOUNT,42,1)&lt;&gt;"",),IF(OR(INDEX(IHZ_HAZ_TOTNETGROSS,42,1)="",INDEX(IHZ_HAZ_TOTUNIT,42,1)="",),FALSE,TRUE),TRUE)</f>
        <v>1</v>
      </c>
      <c r="H299" t="str">
        <f t="shared" si="8"/>
        <v xml:space="preserve">Row 42 - If ‘Total amount’ is given, then ‘Net / Gross’ and ‘Total amount unit’ are required </v>
      </c>
      <c r="I299" t="s">
        <v>1391</v>
      </c>
      <c r="J299" t="b">
        <f>IF(OR(INDEX(OHZ_HAZ_TOTAMOUNT,42,1)&lt;&gt;"",),IF(OR(INDEX(OHZ_HAZ_TOTNETGROSS,42,1)="",INDEX(OHZ_HAZ_TOTUNIT,42,1)="",),FALSE,TRUE),TRUE)</f>
        <v>1</v>
      </c>
      <c r="K299" t="str">
        <f t="shared" si="9"/>
        <v xml:space="preserve">Row 42 - If ‘Total amount’ is given, then ‘Net / Gross’ and ‘Total amount unit’ are required </v>
      </c>
      <c r="L299" t="s">
        <v>1391</v>
      </c>
    </row>
    <row r="300" spans="6:12" x14ac:dyDescent="0.25">
      <c r="F300" t="s">
        <v>1391</v>
      </c>
      <c r="G300" t="b">
        <f>IF(OR(INDEX(IHZ_HAZ_TOTAMOUNT,43,1)&lt;&gt;"",),IF(OR(INDEX(IHZ_HAZ_TOTNETGROSS,43,1)="",INDEX(IHZ_HAZ_TOTUNIT,43,1)="",),FALSE,TRUE),TRUE)</f>
        <v>1</v>
      </c>
      <c r="H300" t="str">
        <f t="shared" si="8"/>
        <v xml:space="preserve">Row 43 - If ‘Total amount’ is given, then ‘Net / Gross’ and ‘Total amount unit’ are required </v>
      </c>
      <c r="I300" t="s">
        <v>1391</v>
      </c>
      <c r="J300" t="b">
        <f>IF(OR(INDEX(OHZ_HAZ_TOTAMOUNT,43,1)&lt;&gt;"",),IF(OR(INDEX(OHZ_HAZ_TOTNETGROSS,43,1)="",INDEX(OHZ_HAZ_TOTUNIT,43,1)="",),FALSE,TRUE),TRUE)</f>
        <v>1</v>
      </c>
      <c r="K300" t="str">
        <f t="shared" si="9"/>
        <v xml:space="preserve">Row 43 - If ‘Total amount’ is given, then ‘Net / Gross’ and ‘Total amount unit’ are required </v>
      </c>
      <c r="L300" t="s">
        <v>1391</v>
      </c>
    </row>
    <row r="301" spans="6:12" x14ac:dyDescent="0.25">
      <c r="F301" t="s">
        <v>1391</v>
      </c>
      <c r="G301" t="b">
        <f>IF(OR(INDEX(IHZ_HAZ_TOTAMOUNT,44,1)&lt;&gt;"",),IF(OR(INDEX(IHZ_HAZ_TOTNETGROSS,44,1)="",INDEX(IHZ_HAZ_TOTUNIT,44,1)="",),FALSE,TRUE),TRUE)</f>
        <v>1</v>
      </c>
      <c r="H301" t="str">
        <f t="shared" si="8"/>
        <v xml:space="preserve">Row 44 - If ‘Total amount’ is given, then ‘Net / Gross’ and ‘Total amount unit’ are required </v>
      </c>
      <c r="I301" t="s">
        <v>1391</v>
      </c>
      <c r="J301" t="b">
        <f>IF(OR(INDEX(OHZ_HAZ_TOTAMOUNT,44,1)&lt;&gt;"",),IF(OR(INDEX(OHZ_HAZ_TOTNETGROSS,44,1)="",INDEX(OHZ_HAZ_TOTUNIT,44,1)="",),FALSE,TRUE),TRUE)</f>
        <v>1</v>
      </c>
      <c r="K301" t="str">
        <f t="shared" si="9"/>
        <v xml:space="preserve">Row 44 - If ‘Total amount’ is given, then ‘Net / Gross’ and ‘Total amount unit’ are required </v>
      </c>
      <c r="L301" t="s">
        <v>1391</v>
      </c>
    </row>
    <row r="302" spans="6:12" x14ac:dyDescent="0.25">
      <c r="F302" t="s">
        <v>1391</v>
      </c>
      <c r="G302" t="b">
        <f>IF(OR(INDEX(IHZ_HAZ_TOTAMOUNT,45,1)&lt;&gt;"",),IF(OR(INDEX(IHZ_HAZ_TOTNETGROSS,45,1)="",INDEX(IHZ_HAZ_TOTUNIT,45,1)="",),FALSE,TRUE),TRUE)</f>
        <v>1</v>
      </c>
      <c r="H302" t="str">
        <f t="shared" si="8"/>
        <v xml:space="preserve">Row 45 - If ‘Total amount’ is given, then ‘Net / Gross’ and ‘Total amount unit’ are required </v>
      </c>
      <c r="I302" t="s">
        <v>1391</v>
      </c>
      <c r="J302" t="b">
        <f>IF(OR(INDEX(OHZ_HAZ_TOTAMOUNT,45,1)&lt;&gt;"",),IF(OR(INDEX(OHZ_HAZ_TOTNETGROSS,45,1)="",INDEX(OHZ_HAZ_TOTUNIT,45,1)="",),FALSE,TRUE),TRUE)</f>
        <v>1</v>
      </c>
      <c r="K302" t="str">
        <f t="shared" si="9"/>
        <v xml:space="preserve">Row 45 - If ‘Total amount’ is given, then ‘Net / Gross’ and ‘Total amount unit’ are required </v>
      </c>
      <c r="L302" t="s">
        <v>1391</v>
      </c>
    </row>
    <row r="303" spans="6:12" x14ac:dyDescent="0.25">
      <c r="F303" t="s">
        <v>1391</v>
      </c>
      <c r="G303" t="b">
        <f>IF(OR(INDEX(IHZ_HAZ_TOTAMOUNT,46,1)&lt;&gt;"",),IF(OR(INDEX(IHZ_HAZ_TOTNETGROSS,46,1)="",INDEX(IHZ_HAZ_TOTUNIT,46,1)="",),FALSE,TRUE),TRUE)</f>
        <v>1</v>
      </c>
      <c r="H303" t="str">
        <f t="shared" si="8"/>
        <v xml:space="preserve">Row 46 - If ‘Total amount’ is given, then ‘Net / Gross’ and ‘Total amount unit’ are required </v>
      </c>
      <c r="I303" t="s">
        <v>1391</v>
      </c>
      <c r="J303" t="b">
        <f>IF(OR(INDEX(OHZ_HAZ_TOTAMOUNT,46,1)&lt;&gt;"",),IF(OR(INDEX(OHZ_HAZ_TOTNETGROSS,46,1)="",INDEX(OHZ_HAZ_TOTUNIT,46,1)="",),FALSE,TRUE),TRUE)</f>
        <v>1</v>
      </c>
      <c r="K303" t="str">
        <f t="shared" si="9"/>
        <v xml:space="preserve">Row 46 - If ‘Total amount’ is given, then ‘Net / Gross’ and ‘Total amount unit’ are required </v>
      </c>
      <c r="L303" t="s">
        <v>1391</v>
      </c>
    </row>
    <row r="304" spans="6:12" x14ac:dyDescent="0.25">
      <c r="F304" t="s">
        <v>1391</v>
      </c>
      <c r="G304" t="b">
        <f>IF(OR(INDEX(IHZ_HAZ_TOTAMOUNT,47,1)&lt;&gt;"",),IF(OR(INDEX(IHZ_HAZ_TOTNETGROSS,47,1)="",INDEX(IHZ_HAZ_TOTUNIT,47,1)="",),FALSE,TRUE),TRUE)</f>
        <v>1</v>
      </c>
      <c r="H304" t="str">
        <f t="shared" si="8"/>
        <v xml:space="preserve">Row 47 - If ‘Total amount’ is given, then ‘Net / Gross’ and ‘Total amount unit’ are required </v>
      </c>
      <c r="I304" t="s">
        <v>1391</v>
      </c>
      <c r="J304" t="b">
        <f>IF(OR(INDEX(OHZ_HAZ_TOTAMOUNT,47,1)&lt;&gt;"",),IF(OR(INDEX(OHZ_HAZ_TOTNETGROSS,47,1)="",INDEX(OHZ_HAZ_TOTUNIT,47,1)="",),FALSE,TRUE),TRUE)</f>
        <v>1</v>
      </c>
      <c r="K304" t="str">
        <f t="shared" si="9"/>
        <v xml:space="preserve">Row 47 - If ‘Total amount’ is given, then ‘Net / Gross’ and ‘Total amount unit’ are required </v>
      </c>
      <c r="L304" t="s">
        <v>1391</v>
      </c>
    </row>
    <row r="305" spans="6:12" x14ac:dyDescent="0.25">
      <c r="F305" t="s">
        <v>1391</v>
      </c>
      <c r="G305" t="b">
        <f>IF(OR(INDEX(IHZ_HAZ_TOTAMOUNT,48,1)&lt;&gt;"",),IF(OR(INDEX(IHZ_HAZ_TOTNETGROSS,48,1)="",INDEX(IHZ_HAZ_TOTUNIT,48,1)="",),FALSE,TRUE),TRUE)</f>
        <v>1</v>
      </c>
      <c r="H305" t="str">
        <f t="shared" si="8"/>
        <v xml:space="preserve">Row 48 - If ‘Total amount’ is given, then ‘Net / Gross’ and ‘Total amount unit’ are required </v>
      </c>
      <c r="I305" t="s">
        <v>1391</v>
      </c>
      <c r="J305" t="b">
        <f>IF(OR(INDEX(OHZ_HAZ_TOTAMOUNT,48,1)&lt;&gt;"",),IF(OR(INDEX(OHZ_HAZ_TOTNETGROSS,48,1)="",INDEX(OHZ_HAZ_TOTUNIT,48,1)="",),FALSE,TRUE),TRUE)</f>
        <v>1</v>
      </c>
      <c r="K305" t="str">
        <f t="shared" si="9"/>
        <v xml:space="preserve">Row 48 - If ‘Total amount’ is given, then ‘Net / Gross’ and ‘Total amount unit’ are required </v>
      </c>
      <c r="L305" t="s">
        <v>1391</v>
      </c>
    </row>
    <row r="306" spans="6:12" x14ac:dyDescent="0.25">
      <c r="F306" t="s">
        <v>1391</v>
      </c>
      <c r="G306" t="b">
        <f>IF(OR(INDEX(IHZ_HAZ_TOTAMOUNT,49,1)&lt;&gt;"",),IF(OR(INDEX(IHZ_HAZ_TOTNETGROSS,49,1)="",INDEX(IHZ_HAZ_TOTUNIT,49,1)="",),FALSE,TRUE),TRUE)</f>
        <v>1</v>
      </c>
      <c r="H306" t="str">
        <f t="shared" si="8"/>
        <v xml:space="preserve">Row 49 - If ‘Total amount’ is given, then ‘Net / Gross’ and ‘Total amount unit’ are required </v>
      </c>
      <c r="I306" t="s">
        <v>1391</v>
      </c>
      <c r="J306" t="b">
        <f>IF(OR(INDEX(OHZ_HAZ_TOTAMOUNT,49,1)&lt;&gt;"",),IF(OR(INDEX(OHZ_HAZ_TOTNETGROSS,49,1)="",INDEX(OHZ_HAZ_TOTUNIT,49,1)="",),FALSE,TRUE),TRUE)</f>
        <v>1</v>
      </c>
      <c r="K306" t="str">
        <f t="shared" si="9"/>
        <v xml:space="preserve">Row 49 - If ‘Total amount’ is given, then ‘Net / Gross’ and ‘Total amount unit’ are required </v>
      </c>
      <c r="L306" t="s">
        <v>1391</v>
      </c>
    </row>
    <row r="307" spans="6:12" x14ac:dyDescent="0.25">
      <c r="F307" t="s">
        <v>1391</v>
      </c>
      <c r="G307" t="b">
        <f>IF(OR(INDEX(IHZ_HAZ_TOTAMOUNT,50,1)&lt;&gt;"",),IF(OR(INDEX(IHZ_HAZ_TOTNETGROSS,50,1)="",INDEX(IHZ_HAZ_TOTUNIT,50,1)="",),FALSE,TRUE),TRUE)</f>
        <v>1</v>
      </c>
      <c r="H307" t="str">
        <f t="shared" si="8"/>
        <v xml:space="preserve">Row 50 - If ‘Total amount’ is given, then ‘Net / Gross’ and ‘Total amount unit’ are required </v>
      </c>
      <c r="I307" t="s">
        <v>1391</v>
      </c>
      <c r="J307" t="b">
        <f>IF(OR(INDEX(OHZ_HAZ_TOTAMOUNT,50,1)&lt;&gt;"",),IF(OR(INDEX(OHZ_HAZ_TOTNETGROSS,50,1)="",INDEX(OHZ_HAZ_TOTUNIT,50,1)="",),FALSE,TRUE),TRUE)</f>
        <v>1</v>
      </c>
      <c r="K307" t="str">
        <f t="shared" si="9"/>
        <v xml:space="preserve">Row 50 - If ‘Total amount’ is given, then ‘Net / Gross’ and ‘Total amount unit’ are required </v>
      </c>
      <c r="L307" t="s">
        <v>1391</v>
      </c>
    </row>
    <row r="308" spans="6:12" x14ac:dyDescent="0.25">
      <c r="F308" t="s">
        <v>1391</v>
      </c>
      <c r="G308" t="b">
        <f>IF(OR(INDEX(IHZ_HAZ_TOTAMOUNT,51,1)&lt;&gt;"",),IF(OR(INDEX(IHZ_HAZ_TOTNETGROSS,51,1)="",INDEX(IHZ_HAZ_TOTUNIT,51,1)="",),FALSE,TRUE),TRUE)</f>
        <v>1</v>
      </c>
      <c r="H308" t="str">
        <f t="shared" si="8"/>
        <v xml:space="preserve">Row 51 - If ‘Total amount’ is given, then ‘Net / Gross’ and ‘Total amount unit’ are required </v>
      </c>
      <c r="I308" t="s">
        <v>1391</v>
      </c>
      <c r="J308" t="b">
        <f>IF(OR(INDEX(OHZ_HAZ_TOTAMOUNT,51,1)&lt;&gt;"",),IF(OR(INDEX(OHZ_HAZ_TOTNETGROSS,51,1)="",INDEX(OHZ_HAZ_TOTUNIT,51,1)="",),FALSE,TRUE),TRUE)</f>
        <v>1</v>
      </c>
      <c r="K308" t="str">
        <f t="shared" si="9"/>
        <v xml:space="preserve">Row 51 - If ‘Total amount’ is given, then ‘Net / Gross’ and ‘Total amount unit’ are required </v>
      </c>
      <c r="L308" t="s">
        <v>1391</v>
      </c>
    </row>
    <row r="309" spans="6:12" x14ac:dyDescent="0.25">
      <c r="F309" t="s">
        <v>1391</v>
      </c>
      <c r="G309" t="b">
        <f>IF(OR(INDEX(IHZ_HAZ_TOTAMOUNT,52,1)&lt;&gt;"",),IF(OR(INDEX(IHZ_HAZ_TOTNETGROSS,52,1)="",INDEX(IHZ_HAZ_TOTUNIT,52,1)="",),FALSE,TRUE),TRUE)</f>
        <v>1</v>
      </c>
      <c r="H309" t="str">
        <f t="shared" si="8"/>
        <v xml:space="preserve">Row 52 - If ‘Total amount’ is given, then ‘Net / Gross’ and ‘Total amount unit’ are required </v>
      </c>
      <c r="I309" t="s">
        <v>1391</v>
      </c>
      <c r="J309" t="b">
        <f>IF(OR(INDEX(OHZ_HAZ_TOTAMOUNT,52,1)&lt;&gt;"",),IF(OR(INDEX(OHZ_HAZ_TOTNETGROSS,52,1)="",INDEX(OHZ_HAZ_TOTUNIT,52,1)="",),FALSE,TRUE),TRUE)</f>
        <v>1</v>
      </c>
      <c r="K309" t="str">
        <f t="shared" si="9"/>
        <v xml:space="preserve">Row 52 - If ‘Total amount’ is given, then ‘Net / Gross’ and ‘Total amount unit’ are required </v>
      </c>
      <c r="L309" t="s">
        <v>1391</v>
      </c>
    </row>
    <row r="310" spans="6:12" x14ac:dyDescent="0.25">
      <c r="F310" t="s">
        <v>1391</v>
      </c>
      <c r="G310" t="b">
        <f>IF(OR(INDEX(IHZ_HAZ_TOTAMOUNT,53,1)&lt;&gt;"",),IF(OR(INDEX(IHZ_HAZ_TOTNETGROSS,53,1)="",INDEX(IHZ_HAZ_TOTUNIT,53,1)="",),FALSE,TRUE),TRUE)</f>
        <v>1</v>
      </c>
      <c r="H310" t="str">
        <f t="shared" si="8"/>
        <v xml:space="preserve">Row 53 - If ‘Total amount’ is given, then ‘Net / Gross’ and ‘Total amount unit’ are required </v>
      </c>
      <c r="I310" t="s">
        <v>1391</v>
      </c>
      <c r="J310" t="b">
        <f>IF(OR(INDEX(OHZ_HAZ_TOTAMOUNT,53,1)&lt;&gt;"",),IF(OR(INDEX(OHZ_HAZ_TOTNETGROSS,53,1)="",INDEX(OHZ_HAZ_TOTUNIT,53,1)="",),FALSE,TRUE),TRUE)</f>
        <v>1</v>
      </c>
      <c r="K310" t="str">
        <f t="shared" si="9"/>
        <v xml:space="preserve">Row 53 - If ‘Total amount’ is given, then ‘Net / Gross’ and ‘Total amount unit’ are required </v>
      </c>
      <c r="L310" t="s">
        <v>1391</v>
      </c>
    </row>
    <row r="311" spans="6:12" x14ac:dyDescent="0.25">
      <c r="F311" t="s">
        <v>1391</v>
      </c>
      <c r="G311" t="b">
        <f>IF(OR(INDEX(IHZ_HAZ_TOTAMOUNT,54,1)&lt;&gt;"",),IF(OR(INDEX(IHZ_HAZ_TOTNETGROSS,54,1)="",INDEX(IHZ_HAZ_TOTUNIT,54,1)="",),FALSE,TRUE),TRUE)</f>
        <v>1</v>
      </c>
      <c r="H311" t="str">
        <f t="shared" si="8"/>
        <v xml:space="preserve">Row 54 - If ‘Total amount’ is given, then ‘Net / Gross’ and ‘Total amount unit’ are required </v>
      </c>
      <c r="I311" t="s">
        <v>1391</v>
      </c>
      <c r="J311" t="b">
        <f>IF(OR(INDEX(OHZ_HAZ_TOTAMOUNT,54,1)&lt;&gt;"",),IF(OR(INDEX(OHZ_HAZ_TOTNETGROSS,54,1)="",INDEX(OHZ_HAZ_TOTUNIT,54,1)="",),FALSE,TRUE),TRUE)</f>
        <v>1</v>
      </c>
      <c r="K311" t="str">
        <f t="shared" si="9"/>
        <v xml:space="preserve">Row 54 - If ‘Total amount’ is given, then ‘Net / Gross’ and ‘Total amount unit’ are required </v>
      </c>
      <c r="L311" t="s">
        <v>1391</v>
      </c>
    </row>
    <row r="312" spans="6:12" x14ac:dyDescent="0.25">
      <c r="F312" t="s">
        <v>1391</v>
      </c>
      <c r="G312" t="b">
        <f>IF(OR(INDEX(IHZ_HAZ_TOTAMOUNT,55,1)&lt;&gt;"",),IF(OR(INDEX(IHZ_HAZ_TOTNETGROSS,55,1)="",INDEX(IHZ_HAZ_TOTUNIT,55,1)="",),FALSE,TRUE),TRUE)</f>
        <v>1</v>
      </c>
      <c r="H312" t="str">
        <f t="shared" si="8"/>
        <v xml:space="preserve">Row 55 - If ‘Total amount’ is given, then ‘Net / Gross’ and ‘Total amount unit’ are required </v>
      </c>
      <c r="I312" t="s">
        <v>1391</v>
      </c>
      <c r="J312" t="b">
        <f>IF(OR(INDEX(OHZ_HAZ_TOTAMOUNT,55,1)&lt;&gt;"",),IF(OR(INDEX(OHZ_HAZ_TOTNETGROSS,55,1)="",INDEX(OHZ_HAZ_TOTUNIT,55,1)="",),FALSE,TRUE),TRUE)</f>
        <v>1</v>
      </c>
      <c r="K312" t="str">
        <f t="shared" si="9"/>
        <v xml:space="preserve">Row 55 - If ‘Total amount’ is given, then ‘Net / Gross’ and ‘Total amount unit’ are required </v>
      </c>
      <c r="L312" t="s">
        <v>1391</v>
      </c>
    </row>
    <row r="313" spans="6:12" x14ac:dyDescent="0.25">
      <c r="F313" t="s">
        <v>1391</v>
      </c>
      <c r="G313" t="b">
        <f>IF(OR(INDEX(IHZ_HAZ_TOTAMOUNT,56,1)&lt;&gt;"",),IF(OR(INDEX(IHZ_HAZ_TOTNETGROSS,56,1)="",INDEX(IHZ_HAZ_TOTUNIT,56,1)="",),FALSE,TRUE),TRUE)</f>
        <v>1</v>
      </c>
      <c r="H313" t="str">
        <f t="shared" si="8"/>
        <v xml:space="preserve">Row 56 - If ‘Total amount’ is given, then ‘Net / Gross’ and ‘Total amount unit’ are required </v>
      </c>
      <c r="I313" t="s">
        <v>1391</v>
      </c>
      <c r="J313" t="b">
        <f>IF(OR(INDEX(OHZ_HAZ_TOTAMOUNT,56,1)&lt;&gt;"",),IF(OR(INDEX(OHZ_HAZ_TOTNETGROSS,56,1)="",INDEX(OHZ_HAZ_TOTUNIT,56,1)="",),FALSE,TRUE),TRUE)</f>
        <v>1</v>
      </c>
      <c r="K313" t="str">
        <f t="shared" si="9"/>
        <v xml:space="preserve">Row 56 - If ‘Total amount’ is given, then ‘Net / Gross’ and ‘Total amount unit’ are required </v>
      </c>
      <c r="L313" t="s">
        <v>1391</v>
      </c>
    </row>
    <row r="314" spans="6:12" x14ac:dyDescent="0.25">
      <c r="F314" t="s">
        <v>1391</v>
      </c>
      <c r="G314" t="b">
        <f>IF(OR(INDEX(IHZ_HAZ_TOTAMOUNT,57,1)&lt;&gt;"",),IF(OR(INDEX(IHZ_HAZ_TOTNETGROSS,57,1)="",INDEX(IHZ_HAZ_TOTUNIT,57,1)="",),FALSE,TRUE),TRUE)</f>
        <v>1</v>
      </c>
      <c r="H314" t="str">
        <f t="shared" si="8"/>
        <v xml:space="preserve">Row 57 - If ‘Total amount’ is given, then ‘Net / Gross’ and ‘Total amount unit’ are required </v>
      </c>
      <c r="I314" t="s">
        <v>1391</v>
      </c>
      <c r="J314" t="b">
        <f>IF(OR(INDEX(OHZ_HAZ_TOTAMOUNT,57,1)&lt;&gt;"",),IF(OR(INDEX(OHZ_HAZ_TOTNETGROSS,57,1)="",INDEX(OHZ_HAZ_TOTUNIT,57,1)="",),FALSE,TRUE),TRUE)</f>
        <v>1</v>
      </c>
      <c r="K314" t="str">
        <f t="shared" si="9"/>
        <v xml:space="preserve">Row 57 - If ‘Total amount’ is given, then ‘Net / Gross’ and ‘Total amount unit’ are required </v>
      </c>
      <c r="L314" t="s">
        <v>1391</v>
      </c>
    </row>
    <row r="315" spans="6:12" x14ac:dyDescent="0.25">
      <c r="F315" t="s">
        <v>1391</v>
      </c>
      <c r="G315" t="b">
        <f>IF(OR(INDEX(IHZ_HAZ_TOTAMOUNT,58,1)&lt;&gt;"",),IF(OR(INDEX(IHZ_HAZ_TOTNETGROSS,58,1)="",INDEX(IHZ_HAZ_TOTUNIT,58,1)="",),FALSE,TRUE),TRUE)</f>
        <v>1</v>
      </c>
      <c r="H315" t="str">
        <f t="shared" si="8"/>
        <v xml:space="preserve">Row 58 - If ‘Total amount’ is given, then ‘Net / Gross’ and ‘Total amount unit’ are required </v>
      </c>
      <c r="I315" t="s">
        <v>1391</v>
      </c>
      <c r="J315" t="b">
        <f>IF(OR(INDEX(OHZ_HAZ_TOTAMOUNT,58,1)&lt;&gt;"",),IF(OR(INDEX(OHZ_HAZ_TOTNETGROSS,58,1)="",INDEX(OHZ_HAZ_TOTUNIT,58,1)="",),FALSE,TRUE),TRUE)</f>
        <v>1</v>
      </c>
      <c r="K315" t="str">
        <f t="shared" si="9"/>
        <v xml:space="preserve">Row 58 - If ‘Total amount’ is given, then ‘Net / Gross’ and ‘Total amount unit’ are required </v>
      </c>
      <c r="L315" t="s">
        <v>1391</v>
      </c>
    </row>
    <row r="316" spans="6:12" x14ac:dyDescent="0.25">
      <c r="F316" t="s">
        <v>1391</v>
      </c>
      <c r="G316" t="b">
        <f>IF(OR(INDEX(IHZ_HAZ_TOTAMOUNT,59,1)&lt;&gt;"",),IF(OR(INDEX(IHZ_HAZ_TOTNETGROSS,59,1)="",INDEX(IHZ_HAZ_TOTUNIT,59,1)="",),FALSE,TRUE),TRUE)</f>
        <v>1</v>
      </c>
      <c r="H316" t="str">
        <f t="shared" si="8"/>
        <v xml:space="preserve">Row 59 - If ‘Total amount’ is given, then ‘Net / Gross’ and ‘Total amount unit’ are required </v>
      </c>
      <c r="I316" t="s">
        <v>1391</v>
      </c>
      <c r="J316" t="b">
        <f>IF(OR(INDEX(OHZ_HAZ_TOTAMOUNT,59,1)&lt;&gt;"",),IF(OR(INDEX(OHZ_HAZ_TOTNETGROSS,59,1)="",INDEX(OHZ_HAZ_TOTUNIT,59,1)="",),FALSE,TRUE),TRUE)</f>
        <v>1</v>
      </c>
      <c r="K316" t="str">
        <f t="shared" si="9"/>
        <v xml:space="preserve">Row 59 - If ‘Total amount’ is given, then ‘Net / Gross’ and ‘Total amount unit’ are required </v>
      </c>
      <c r="L316" t="s">
        <v>1391</v>
      </c>
    </row>
    <row r="317" spans="6:12" x14ac:dyDescent="0.25">
      <c r="F317" t="s">
        <v>1391</v>
      </c>
      <c r="G317" t="b">
        <f>IF(OR(INDEX(IHZ_HAZ_TOTAMOUNT,60,1)&lt;&gt;"",),IF(OR(INDEX(IHZ_HAZ_TOTNETGROSS,60,1)="",INDEX(IHZ_HAZ_TOTUNIT,60,1)="",),FALSE,TRUE),TRUE)</f>
        <v>1</v>
      </c>
      <c r="H317" t="str">
        <f t="shared" si="8"/>
        <v xml:space="preserve">Row 60 - If ‘Total amount’ is given, then ‘Net / Gross’ and ‘Total amount unit’ are required </v>
      </c>
      <c r="I317" t="s">
        <v>1391</v>
      </c>
      <c r="J317" t="b">
        <f>IF(OR(INDEX(OHZ_HAZ_TOTAMOUNT,60,1)&lt;&gt;"",),IF(OR(INDEX(OHZ_HAZ_TOTNETGROSS,60,1)="",INDEX(OHZ_HAZ_TOTUNIT,60,1)="",),FALSE,TRUE),TRUE)</f>
        <v>1</v>
      </c>
      <c r="K317" t="str">
        <f t="shared" si="9"/>
        <v xml:space="preserve">Row 60 - If ‘Total amount’ is given, then ‘Net / Gross’ and ‘Total amount unit’ are required </v>
      </c>
      <c r="L317" t="s">
        <v>1391</v>
      </c>
    </row>
    <row r="318" spans="6:12" x14ac:dyDescent="0.25">
      <c r="F318" t="s">
        <v>1391</v>
      </c>
      <c r="G318" t="b">
        <f>IF(OR(INDEX(IHZ_HAZ_TOTAMOUNT,61,1)&lt;&gt;"",),IF(OR(INDEX(IHZ_HAZ_TOTNETGROSS,61,1)="",INDEX(IHZ_HAZ_TOTUNIT,61,1)="",),FALSE,TRUE),TRUE)</f>
        <v>1</v>
      </c>
      <c r="H318" t="str">
        <f t="shared" si="8"/>
        <v xml:space="preserve">Row 61 - If ‘Total amount’ is given, then ‘Net / Gross’ and ‘Total amount unit’ are required </v>
      </c>
      <c r="I318" t="s">
        <v>1391</v>
      </c>
      <c r="J318" t="b">
        <f>IF(OR(INDEX(OHZ_HAZ_TOTAMOUNT,61,1)&lt;&gt;"",),IF(OR(INDEX(OHZ_HAZ_TOTNETGROSS,61,1)="",INDEX(OHZ_HAZ_TOTUNIT,61,1)="",),FALSE,TRUE),TRUE)</f>
        <v>1</v>
      </c>
      <c r="K318" t="str">
        <f t="shared" si="9"/>
        <v xml:space="preserve">Row 61 - If ‘Total amount’ is given, then ‘Net / Gross’ and ‘Total amount unit’ are required </v>
      </c>
      <c r="L318" t="s">
        <v>1391</v>
      </c>
    </row>
    <row r="319" spans="6:12" x14ac:dyDescent="0.25">
      <c r="F319" t="s">
        <v>1391</v>
      </c>
      <c r="G319" t="b">
        <f>IF(OR(INDEX(IHZ_HAZ_TOTAMOUNT,62,1)&lt;&gt;"",),IF(OR(INDEX(IHZ_HAZ_TOTNETGROSS,62,1)="",INDEX(IHZ_HAZ_TOTUNIT,62,1)="",),FALSE,TRUE),TRUE)</f>
        <v>1</v>
      </c>
      <c r="H319" t="str">
        <f t="shared" si="8"/>
        <v xml:space="preserve">Row 62 - If ‘Total amount’ is given, then ‘Net / Gross’ and ‘Total amount unit’ are required </v>
      </c>
      <c r="I319" t="s">
        <v>1391</v>
      </c>
      <c r="J319" t="b">
        <f>IF(OR(INDEX(OHZ_HAZ_TOTAMOUNT,62,1)&lt;&gt;"",),IF(OR(INDEX(OHZ_HAZ_TOTNETGROSS,62,1)="",INDEX(OHZ_HAZ_TOTUNIT,62,1)="",),FALSE,TRUE),TRUE)</f>
        <v>1</v>
      </c>
      <c r="K319" t="str">
        <f t="shared" si="9"/>
        <v xml:space="preserve">Row 62 - If ‘Total amount’ is given, then ‘Net / Gross’ and ‘Total amount unit’ are required </v>
      </c>
      <c r="L319" t="s">
        <v>1391</v>
      </c>
    </row>
    <row r="320" spans="6:12" x14ac:dyDescent="0.25">
      <c r="F320" t="s">
        <v>1391</v>
      </c>
      <c r="G320" t="b">
        <f>IF(OR(INDEX(IHZ_HAZ_TOTAMOUNT,63,1)&lt;&gt;"",),IF(OR(INDEX(IHZ_HAZ_TOTNETGROSS,63,1)="",INDEX(IHZ_HAZ_TOTUNIT,63,1)="",),FALSE,TRUE),TRUE)</f>
        <v>1</v>
      </c>
      <c r="H320" t="str">
        <f t="shared" si="8"/>
        <v xml:space="preserve">Row 63 - If ‘Total amount’ is given, then ‘Net / Gross’ and ‘Total amount unit’ are required </v>
      </c>
      <c r="I320" t="s">
        <v>1391</v>
      </c>
      <c r="J320" t="b">
        <f>IF(OR(INDEX(OHZ_HAZ_TOTAMOUNT,63,1)&lt;&gt;"",),IF(OR(INDEX(OHZ_HAZ_TOTNETGROSS,63,1)="",INDEX(OHZ_HAZ_TOTUNIT,63,1)="",),FALSE,TRUE),TRUE)</f>
        <v>1</v>
      </c>
      <c r="K320" t="str">
        <f t="shared" si="9"/>
        <v xml:space="preserve">Row 63 - If ‘Total amount’ is given, then ‘Net / Gross’ and ‘Total amount unit’ are required </v>
      </c>
      <c r="L320" t="s">
        <v>1391</v>
      </c>
    </row>
    <row r="321" spans="6:12" x14ac:dyDescent="0.25">
      <c r="F321" t="s">
        <v>1391</v>
      </c>
      <c r="G321" t="b">
        <f>IF(OR(INDEX(IHZ_HAZ_TOTAMOUNT,64,1)&lt;&gt;"",),IF(OR(INDEX(IHZ_HAZ_TOTNETGROSS,64,1)="",INDEX(IHZ_HAZ_TOTUNIT,64,1)="",),FALSE,TRUE),TRUE)</f>
        <v>1</v>
      </c>
      <c r="H321" t="str">
        <f t="shared" si="8"/>
        <v xml:space="preserve">Row 64 - If ‘Total amount’ is given, then ‘Net / Gross’ and ‘Total amount unit’ are required </v>
      </c>
      <c r="I321" t="s">
        <v>1391</v>
      </c>
      <c r="J321" t="b">
        <f>IF(OR(INDEX(OHZ_HAZ_TOTAMOUNT,64,1)&lt;&gt;"",),IF(OR(INDEX(OHZ_HAZ_TOTNETGROSS,64,1)="",INDEX(OHZ_HAZ_TOTUNIT,64,1)="",),FALSE,TRUE),TRUE)</f>
        <v>1</v>
      </c>
      <c r="K321" t="str">
        <f t="shared" si="9"/>
        <v xml:space="preserve">Row 64 - If ‘Total amount’ is given, then ‘Net / Gross’ and ‘Total amount unit’ are required </v>
      </c>
      <c r="L321" t="s">
        <v>1391</v>
      </c>
    </row>
    <row r="322" spans="6:12" x14ac:dyDescent="0.25">
      <c r="F322" t="s">
        <v>1391</v>
      </c>
      <c r="G322" t="b">
        <f>IF(OR(INDEX(IHZ_HAZ_TOTAMOUNT,65,1)&lt;&gt;"",),IF(OR(INDEX(IHZ_HAZ_TOTNETGROSS,65,1)="",INDEX(IHZ_HAZ_TOTUNIT,65,1)="",),FALSE,TRUE),TRUE)</f>
        <v>1</v>
      </c>
      <c r="H322" t="str">
        <f t="shared" si="8"/>
        <v xml:space="preserve">Row 65 - If ‘Total amount’ is given, then ‘Net / Gross’ and ‘Total amount unit’ are required </v>
      </c>
      <c r="I322" t="s">
        <v>1391</v>
      </c>
      <c r="J322" t="b">
        <f>IF(OR(INDEX(OHZ_HAZ_TOTAMOUNT,65,1)&lt;&gt;"",),IF(OR(INDEX(OHZ_HAZ_TOTNETGROSS,65,1)="",INDEX(OHZ_HAZ_TOTUNIT,65,1)="",),FALSE,TRUE),TRUE)</f>
        <v>1</v>
      </c>
      <c r="K322" t="str">
        <f t="shared" si="9"/>
        <v xml:space="preserve">Row 65 - If ‘Total amount’ is given, then ‘Net / Gross’ and ‘Total amount unit’ are required </v>
      </c>
      <c r="L322" t="s">
        <v>1391</v>
      </c>
    </row>
    <row r="323" spans="6:12" x14ac:dyDescent="0.25">
      <c r="F323" t="s">
        <v>1391</v>
      </c>
      <c r="G323" t="b">
        <f>IF(OR(INDEX(IHZ_HAZ_TOTAMOUNT,66,1)&lt;&gt;"",),IF(OR(INDEX(IHZ_HAZ_TOTNETGROSS,66,1)="",INDEX(IHZ_HAZ_TOTUNIT,66,1)="",),FALSE,TRUE),TRUE)</f>
        <v>1</v>
      </c>
      <c r="H323" t="str">
        <f t="shared" ref="H323:H386" si="10">T66&amp;$V$2</f>
        <v xml:space="preserve">Row 66 - If ‘Total amount’ is given, then ‘Net / Gross’ and ‘Total amount unit’ are required </v>
      </c>
      <c r="I323" t="s">
        <v>1391</v>
      </c>
      <c r="J323" t="b">
        <f>IF(OR(INDEX(OHZ_HAZ_TOTAMOUNT,66,1)&lt;&gt;"",),IF(OR(INDEX(OHZ_HAZ_TOTNETGROSS,66,1)="",INDEX(OHZ_HAZ_TOTUNIT,66,1)="",),FALSE,TRUE),TRUE)</f>
        <v>1</v>
      </c>
      <c r="K323" t="str">
        <f t="shared" ref="K323:K386" si="11">T66&amp;$V$2</f>
        <v xml:space="preserve">Row 66 - If ‘Total amount’ is given, then ‘Net / Gross’ and ‘Total amount unit’ are required </v>
      </c>
      <c r="L323" t="s">
        <v>1391</v>
      </c>
    </row>
    <row r="324" spans="6:12" x14ac:dyDescent="0.25">
      <c r="F324" t="s">
        <v>1391</v>
      </c>
      <c r="G324" t="b">
        <f>IF(OR(INDEX(IHZ_HAZ_TOTAMOUNT,67,1)&lt;&gt;"",),IF(OR(INDEX(IHZ_HAZ_TOTNETGROSS,67,1)="",INDEX(IHZ_HAZ_TOTUNIT,67,1)="",),FALSE,TRUE),TRUE)</f>
        <v>1</v>
      </c>
      <c r="H324" t="str">
        <f t="shared" si="10"/>
        <v xml:space="preserve">Row 67 - If ‘Total amount’ is given, then ‘Net / Gross’ and ‘Total amount unit’ are required </v>
      </c>
      <c r="I324" t="s">
        <v>1391</v>
      </c>
      <c r="J324" t="b">
        <f>IF(OR(INDEX(OHZ_HAZ_TOTAMOUNT,67,1)&lt;&gt;"",),IF(OR(INDEX(OHZ_HAZ_TOTNETGROSS,67,1)="",INDEX(OHZ_HAZ_TOTUNIT,67,1)="",),FALSE,TRUE),TRUE)</f>
        <v>1</v>
      </c>
      <c r="K324" t="str">
        <f t="shared" si="11"/>
        <v xml:space="preserve">Row 67 - If ‘Total amount’ is given, then ‘Net / Gross’ and ‘Total amount unit’ are required </v>
      </c>
      <c r="L324" t="s">
        <v>1391</v>
      </c>
    </row>
    <row r="325" spans="6:12" x14ac:dyDescent="0.25">
      <c r="F325" t="s">
        <v>1391</v>
      </c>
      <c r="G325" t="b">
        <f>IF(OR(INDEX(IHZ_HAZ_TOTAMOUNT,68,1)&lt;&gt;"",),IF(OR(INDEX(IHZ_HAZ_TOTNETGROSS,68,1)="",INDEX(IHZ_HAZ_TOTUNIT,68,1)="",),FALSE,TRUE),TRUE)</f>
        <v>1</v>
      </c>
      <c r="H325" t="str">
        <f t="shared" si="10"/>
        <v xml:space="preserve">Row 68 - If ‘Total amount’ is given, then ‘Net / Gross’ and ‘Total amount unit’ are required </v>
      </c>
      <c r="I325" t="s">
        <v>1391</v>
      </c>
      <c r="J325" t="b">
        <f>IF(OR(INDEX(OHZ_HAZ_TOTAMOUNT,68,1)&lt;&gt;"",),IF(OR(INDEX(OHZ_HAZ_TOTNETGROSS,68,1)="",INDEX(OHZ_HAZ_TOTUNIT,68,1)="",),FALSE,TRUE),TRUE)</f>
        <v>1</v>
      </c>
      <c r="K325" t="str">
        <f t="shared" si="11"/>
        <v xml:space="preserve">Row 68 - If ‘Total amount’ is given, then ‘Net / Gross’ and ‘Total amount unit’ are required </v>
      </c>
      <c r="L325" t="s">
        <v>1391</v>
      </c>
    </row>
    <row r="326" spans="6:12" x14ac:dyDescent="0.25">
      <c r="F326" t="s">
        <v>1391</v>
      </c>
      <c r="G326" t="b">
        <f>IF(OR(INDEX(IHZ_HAZ_TOTAMOUNT,69,1)&lt;&gt;"",),IF(OR(INDEX(IHZ_HAZ_TOTNETGROSS,69,1)="",INDEX(IHZ_HAZ_TOTUNIT,69,1)="",),FALSE,TRUE),TRUE)</f>
        <v>1</v>
      </c>
      <c r="H326" t="str">
        <f t="shared" si="10"/>
        <v xml:space="preserve">Row 69 - If ‘Total amount’ is given, then ‘Net / Gross’ and ‘Total amount unit’ are required </v>
      </c>
      <c r="I326" t="s">
        <v>1391</v>
      </c>
      <c r="J326" t="b">
        <f>IF(OR(INDEX(OHZ_HAZ_TOTAMOUNT,69,1)&lt;&gt;"",),IF(OR(INDEX(OHZ_HAZ_TOTNETGROSS,69,1)="",INDEX(OHZ_HAZ_TOTUNIT,69,1)="",),FALSE,TRUE),TRUE)</f>
        <v>1</v>
      </c>
      <c r="K326" t="str">
        <f t="shared" si="11"/>
        <v xml:space="preserve">Row 69 - If ‘Total amount’ is given, then ‘Net / Gross’ and ‘Total amount unit’ are required </v>
      </c>
      <c r="L326" t="s">
        <v>1391</v>
      </c>
    </row>
    <row r="327" spans="6:12" x14ac:dyDescent="0.25">
      <c r="F327" t="s">
        <v>1391</v>
      </c>
      <c r="G327" t="b">
        <f>IF(OR(INDEX(IHZ_HAZ_TOTAMOUNT,70,1)&lt;&gt;"",),IF(OR(INDEX(IHZ_HAZ_TOTNETGROSS,70,1)="",INDEX(IHZ_HAZ_TOTUNIT,70,1)="",),FALSE,TRUE),TRUE)</f>
        <v>1</v>
      </c>
      <c r="H327" t="str">
        <f t="shared" si="10"/>
        <v xml:space="preserve">Row 70 - If ‘Total amount’ is given, then ‘Net / Gross’ and ‘Total amount unit’ are required </v>
      </c>
      <c r="I327" t="s">
        <v>1391</v>
      </c>
      <c r="J327" t="b">
        <f>IF(OR(INDEX(OHZ_HAZ_TOTAMOUNT,70,1)&lt;&gt;"",),IF(OR(INDEX(OHZ_HAZ_TOTNETGROSS,70,1)="",INDEX(OHZ_HAZ_TOTUNIT,70,1)="",),FALSE,TRUE),TRUE)</f>
        <v>1</v>
      </c>
      <c r="K327" t="str">
        <f t="shared" si="11"/>
        <v xml:space="preserve">Row 70 - If ‘Total amount’ is given, then ‘Net / Gross’ and ‘Total amount unit’ are required </v>
      </c>
      <c r="L327" t="s">
        <v>1391</v>
      </c>
    </row>
    <row r="328" spans="6:12" x14ac:dyDescent="0.25">
      <c r="F328" t="s">
        <v>1391</v>
      </c>
      <c r="G328" t="b">
        <f>IF(OR(INDEX(IHZ_HAZ_TOTAMOUNT,71,1)&lt;&gt;"",),IF(OR(INDEX(IHZ_HAZ_TOTNETGROSS,71,1)="",INDEX(IHZ_HAZ_TOTUNIT,71,1)="",),FALSE,TRUE),TRUE)</f>
        <v>1</v>
      </c>
      <c r="H328" t="str">
        <f t="shared" si="10"/>
        <v xml:space="preserve">Row 71 - If ‘Total amount’ is given, then ‘Net / Gross’ and ‘Total amount unit’ are required </v>
      </c>
      <c r="I328" t="s">
        <v>1391</v>
      </c>
      <c r="J328" t="b">
        <f>IF(OR(INDEX(OHZ_HAZ_TOTAMOUNT,71,1)&lt;&gt;"",),IF(OR(INDEX(OHZ_HAZ_TOTNETGROSS,71,1)="",INDEX(OHZ_HAZ_TOTUNIT,71,1)="",),FALSE,TRUE),TRUE)</f>
        <v>1</v>
      </c>
      <c r="K328" t="str">
        <f t="shared" si="11"/>
        <v xml:space="preserve">Row 71 - If ‘Total amount’ is given, then ‘Net / Gross’ and ‘Total amount unit’ are required </v>
      </c>
      <c r="L328" t="s">
        <v>1391</v>
      </c>
    </row>
    <row r="329" spans="6:12" x14ac:dyDescent="0.25">
      <c r="F329" t="s">
        <v>1391</v>
      </c>
      <c r="G329" t="b">
        <f>IF(OR(INDEX(IHZ_HAZ_TOTAMOUNT,72,1)&lt;&gt;"",),IF(OR(INDEX(IHZ_HAZ_TOTNETGROSS,72,1)="",INDEX(IHZ_HAZ_TOTUNIT,72,1)="",),FALSE,TRUE),TRUE)</f>
        <v>1</v>
      </c>
      <c r="H329" t="str">
        <f t="shared" si="10"/>
        <v xml:space="preserve">Row 72 - If ‘Total amount’ is given, then ‘Net / Gross’ and ‘Total amount unit’ are required </v>
      </c>
      <c r="I329" t="s">
        <v>1391</v>
      </c>
      <c r="J329" t="b">
        <f>IF(OR(INDEX(OHZ_HAZ_TOTAMOUNT,72,1)&lt;&gt;"",),IF(OR(INDEX(OHZ_HAZ_TOTNETGROSS,72,1)="",INDEX(OHZ_HAZ_TOTUNIT,72,1)="",),FALSE,TRUE),TRUE)</f>
        <v>1</v>
      </c>
      <c r="K329" t="str">
        <f t="shared" si="11"/>
        <v xml:space="preserve">Row 72 - If ‘Total amount’ is given, then ‘Net / Gross’ and ‘Total amount unit’ are required </v>
      </c>
      <c r="L329" t="s">
        <v>1391</v>
      </c>
    </row>
    <row r="330" spans="6:12" x14ac:dyDescent="0.25">
      <c r="F330" t="s">
        <v>1391</v>
      </c>
      <c r="G330" t="b">
        <f>IF(OR(INDEX(IHZ_HAZ_TOTAMOUNT,73,1)&lt;&gt;"",),IF(OR(INDEX(IHZ_HAZ_TOTNETGROSS,73,1)="",INDEX(IHZ_HAZ_TOTUNIT,73,1)="",),FALSE,TRUE),TRUE)</f>
        <v>1</v>
      </c>
      <c r="H330" t="str">
        <f t="shared" si="10"/>
        <v xml:space="preserve">Row 73 - If ‘Total amount’ is given, then ‘Net / Gross’ and ‘Total amount unit’ are required </v>
      </c>
      <c r="I330" t="s">
        <v>1391</v>
      </c>
      <c r="J330" t="b">
        <f>IF(OR(INDEX(OHZ_HAZ_TOTAMOUNT,73,1)&lt;&gt;"",),IF(OR(INDEX(OHZ_HAZ_TOTNETGROSS,73,1)="",INDEX(OHZ_HAZ_TOTUNIT,73,1)="",),FALSE,TRUE),TRUE)</f>
        <v>1</v>
      </c>
      <c r="K330" t="str">
        <f t="shared" si="11"/>
        <v xml:space="preserve">Row 73 - If ‘Total amount’ is given, then ‘Net / Gross’ and ‘Total amount unit’ are required </v>
      </c>
      <c r="L330" t="s">
        <v>1391</v>
      </c>
    </row>
    <row r="331" spans="6:12" x14ac:dyDescent="0.25">
      <c r="F331" t="s">
        <v>1391</v>
      </c>
      <c r="G331" t="b">
        <f>IF(OR(INDEX(IHZ_HAZ_TOTAMOUNT,74,1)&lt;&gt;"",),IF(OR(INDEX(IHZ_HAZ_TOTNETGROSS,74,1)="",INDEX(IHZ_HAZ_TOTUNIT,74,1)="",),FALSE,TRUE),TRUE)</f>
        <v>1</v>
      </c>
      <c r="H331" t="str">
        <f t="shared" si="10"/>
        <v xml:space="preserve">Row 74 - If ‘Total amount’ is given, then ‘Net / Gross’ and ‘Total amount unit’ are required </v>
      </c>
      <c r="I331" t="s">
        <v>1391</v>
      </c>
      <c r="J331" t="b">
        <f>IF(OR(INDEX(OHZ_HAZ_TOTAMOUNT,74,1)&lt;&gt;"",),IF(OR(INDEX(OHZ_HAZ_TOTNETGROSS,74,1)="",INDEX(OHZ_HAZ_TOTUNIT,74,1)="",),FALSE,TRUE),TRUE)</f>
        <v>1</v>
      </c>
      <c r="K331" t="str">
        <f t="shared" si="11"/>
        <v xml:space="preserve">Row 74 - If ‘Total amount’ is given, then ‘Net / Gross’ and ‘Total amount unit’ are required </v>
      </c>
      <c r="L331" t="s">
        <v>1391</v>
      </c>
    </row>
    <row r="332" spans="6:12" x14ac:dyDescent="0.25">
      <c r="F332" t="s">
        <v>1391</v>
      </c>
      <c r="G332" t="b">
        <f>IF(OR(INDEX(IHZ_HAZ_TOTAMOUNT,75,1)&lt;&gt;"",),IF(OR(INDEX(IHZ_HAZ_TOTNETGROSS,75,1)="",INDEX(IHZ_HAZ_TOTUNIT,75,1)="",),FALSE,TRUE),TRUE)</f>
        <v>1</v>
      </c>
      <c r="H332" t="str">
        <f t="shared" si="10"/>
        <v xml:space="preserve">Row 75 - If ‘Total amount’ is given, then ‘Net / Gross’ and ‘Total amount unit’ are required </v>
      </c>
      <c r="I332" t="s">
        <v>1391</v>
      </c>
      <c r="J332" t="b">
        <f>IF(OR(INDEX(OHZ_HAZ_TOTAMOUNT,75,1)&lt;&gt;"",),IF(OR(INDEX(OHZ_HAZ_TOTNETGROSS,75,1)="",INDEX(OHZ_HAZ_TOTUNIT,75,1)="",),FALSE,TRUE),TRUE)</f>
        <v>1</v>
      </c>
      <c r="K332" t="str">
        <f t="shared" si="11"/>
        <v xml:space="preserve">Row 75 - If ‘Total amount’ is given, then ‘Net / Gross’ and ‘Total amount unit’ are required </v>
      </c>
      <c r="L332" t="s">
        <v>1391</v>
      </c>
    </row>
    <row r="333" spans="6:12" x14ac:dyDescent="0.25">
      <c r="F333" t="s">
        <v>1391</v>
      </c>
      <c r="G333" t="b">
        <f>IF(OR(INDEX(IHZ_HAZ_TOTAMOUNT,76,1)&lt;&gt;"",),IF(OR(INDEX(IHZ_HAZ_TOTNETGROSS,76,1)="",INDEX(IHZ_HAZ_TOTUNIT,76,1)="",),FALSE,TRUE),TRUE)</f>
        <v>1</v>
      </c>
      <c r="H333" t="str">
        <f t="shared" si="10"/>
        <v xml:space="preserve">Row 76 - If ‘Total amount’ is given, then ‘Net / Gross’ and ‘Total amount unit’ are required </v>
      </c>
      <c r="I333" t="s">
        <v>1391</v>
      </c>
      <c r="J333" t="b">
        <f>IF(OR(INDEX(OHZ_HAZ_TOTAMOUNT,76,1)&lt;&gt;"",),IF(OR(INDEX(OHZ_HAZ_TOTNETGROSS,76,1)="",INDEX(OHZ_HAZ_TOTUNIT,76,1)="",),FALSE,TRUE),TRUE)</f>
        <v>1</v>
      </c>
      <c r="K333" t="str">
        <f t="shared" si="11"/>
        <v xml:space="preserve">Row 76 - If ‘Total amount’ is given, then ‘Net / Gross’ and ‘Total amount unit’ are required </v>
      </c>
      <c r="L333" t="s">
        <v>1391</v>
      </c>
    </row>
    <row r="334" spans="6:12" x14ac:dyDescent="0.25">
      <c r="F334" t="s">
        <v>1391</v>
      </c>
      <c r="G334" t="b">
        <f>IF(OR(INDEX(IHZ_HAZ_TOTAMOUNT,77,1)&lt;&gt;"",),IF(OR(INDEX(IHZ_HAZ_TOTNETGROSS,77,1)="",INDEX(IHZ_HAZ_TOTUNIT,77,1)="",),FALSE,TRUE),TRUE)</f>
        <v>1</v>
      </c>
      <c r="H334" t="str">
        <f t="shared" si="10"/>
        <v xml:space="preserve">Row 77 - If ‘Total amount’ is given, then ‘Net / Gross’ and ‘Total amount unit’ are required </v>
      </c>
      <c r="I334" t="s">
        <v>1391</v>
      </c>
      <c r="J334" t="b">
        <f>IF(OR(INDEX(OHZ_HAZ_TOTAMOUNT,77,1)&lt;&gt;"",),IF(OR(INDEX(OHZ_HAZ_TOTNETGROSS,77,1)="",INDEX(OHZ_HAZ_TOTUNIT,77,1)="",),FALSE,TRUE),TRUE)</f>
        <v>1</v>
      </c>
      <c r="K334" t="str">
        <f t="shared" si="11"/>
        <v xml:space="preserve">Row 77 - If ‘Total amount’ is given, then ‘Net / Gross’ and ‘Total amount unit’ are required </v>
      </c>
      <c r="L334" t="s">
        <v>1391</v>
      </c>
    </row>
    <row r="335" spans="6:12" x14ac:dyDescent="0.25">
      <c r="F335" t="s">
        <v>1391</v>
      </c>
      <c r="G335" t="b">
        <f>IF(OR(INDEX(IHZ_HAZ_TOTAMOUNT,78,1)&lt;&gt;"",),IF(OR(INDEX(IHZ_HAZ_TOTNETGROSS,78,1)="",INDEX(IHZ_HAZ_TOTUNIT,78,1)="",),FALSE,TRUE),TRUE)</f>
        <v>1</v>
      </c>
      <c r="H335" t="str">
        <f t="shared" si="10"/>
        <v xml:space="preserve">Row 78 - If ‘Total amount’ is given, then ‘Net / Gross’ and ‘Total amount unit’ are required </v>
      </c>
      <c r="I335" t="s">
        <v>1391</v>
      </c>
      <c r="J335" t="b">
        <f>IF(OR(INDEX(OHZ_HAZ_TOTAMOUNT,78,1)&lt;&gt;"",),IF(OR(INDEX(OHZ_HAZ_TOTNETGROSS,78,1)="",INDEX(OHZ_HAZ_TOTUNIT,78,1)="",),FALSE,TRUE),TRUE)</f>
        <v>1</v>
      </c>
      <c r="K335" t="str">
        <f t="shared" si="11"/>
        <v xml:space="preserve">Row 78 - If ‘Total amount’ is given, then ‘Net / Gross’ and ‘Total amount unit’ are required </v>
      </c>
      <c r="L335" t="s">
        <v>1391</v>
      </c>
    </row>
    <row r="336" spans="6:12" x14ac:dyDescent="0.25">
      <c r="F336" t="s">
        <v>1391</v>
      </c>
      <c r="G336" t="b">
        <f>IF(OR(INDEX(IHZ_HAZ_TOTAMOUNT,79,1)&lt;&gt;"",),IF(OR(INDEX(IHZ_HAZ_TOTNETGROSS,79,1)="",INDEX(IHZ_HAZ_TOTUNIT,79,1)="",),FALSE,TRUE),TRUE)</f>
        <v>1</v>
      </c>
      <c r="H336" t="str">
        <f t="shared" si="10"/>
        <v xml:space="preserve">Row 79 - If ‘Total amount’ is given, then ‘Net / Gross’ and ‘Total amount unit’ are required </v>
      </c>
      <c r="I336" t="s">
        <v>1391</v>
      </c>
      <c r="J336" t="b">
        <f>IF(OR(INDEX(OHZ_HAZ_TOTAMOUNT,79,1)&lt;&gt;"",),IF(OR(INDEX(OHZ_HAZ_TOTNETGROSS,79,1)="",INDEX(OHZ_HAZ_TOTUNIT,79,1)="",),FALSE,TRUE),TRUE)</f>
        <v>1</v>
      </c>
      <c r="K336" t="str">
        <f t="shared" si="11"/>
        <v xml:space="preserve">Row 79 - If ‘Total amount’ is given, then ‘Net / Gross’ and ‘Total amount unit’ are required </v>
      </c>
      <c r="L336" t="s">
        <v>1391</v>
      </c>
    </row>
    <row r="337" spans="6:12" x14ac:dyDescent="0.25">
      <c r="F337" t="s">
        <v>1391</v>
      </c>
      <c r="G337" t="b">
        <f>IF(OR(INDEX(IHZ_HAZ_TOTAMOUNT,80,1)&lt;&gt;"",),IF(OR(INDEX(IHZ_HAZ_TOTNETGROSS,80,1)="",INDEX(IHZ_HAZ_TOTUNIT,80,1)="",),FALSE,TRUE),TRUE)</f>
        <v>1</v>
      </c>
      <c r="H337" t="str">
        <f t="shared" si="10"/>
        <v xml:space="preserve">Row 80 - If ‘Total amount’ is given, then ‘Net / Gross’ and ‘Total amount unit’ are required </v>
      </c>
      <c r="I337" t="s">
        <v>1391</v>
      </c>
      <c r="J337" t="b">
        <f>IF(OR(INDEX(OHZ_HAZ_TOTAMOUNT,80,1)&lt;&gt;"",),IF(OR(INDEX(OHZ_HAZ_TOTNETGROSS,80,1)="",INDEX(OHZ_HAZ_TOTUNIT,80,1)="",),FALSE,TRUE),TRUE)</f>
        <v>1</v>
      </c>
      <c r="K337" t="str">
        <f t="shared" si="11"/>
        <v xml:space="preserve">Row 80 - If ‘Total amount’ is given, then ‘Net / Gross’ and ‘Total amount unit’ are required </v>
      </c>
      <c r="L337" t="s">
        <v>1391</v>
      </c>
    </row>
    <row r="338" spans="6:12" x14ac:dyDescent="0.25">
      <c r="F338" t="s">
        <v>1391</v>
      </c>
      <c r="G338" t="b">
        <f>IF(OR(INDEX(IHZ_HAZ_TOTAMOUNT,81,1)&lt;&gt;"",),IF(OR(INDEX(IHZ_HAZ_TOTNETGROSS,81,1)="",INDEX(IHZ_HAZ_TOTUNIT,81,1)="",),FALSE,TRUE),TRUE)</f>
        <v>1</v>
      </c>
      <c r="H338" t="str">
        <f t="shared" si="10"/>
        <v xml:space="preserve">Row 81 - If ‘Total amount’ is given, then ‘Net / Gross’ and ‘Total amount unit’ are required </v>
      </c>
      <c r="I338" t="s">
        <v>1391</v>
      </c>
      <c r="J338" t="b">
        <f>IF(OR(INDEX(OHZ_HAZ_TOTAMOUNT,81,1)&lt;&gt;"",),IF(OR(INDEX(OHZ_HAZ_TOTNETGROSS,81,1)="",INDEX(OHZ_HAZ_TOTUNIT,81,1)="",),FALSE,TRUE),TRUE)</f>
        <v>1</v>
      </c>
      <c r="K338" t="str">
        <f t="shared" si="11"/>
        <v xml:space="preserve">Row 81 - If ‘Total amount’ is given, then ‘Net / Gross’ and ‘Total amount unit’ are required </v>
      </c>
      <c r="L338" t="s">
        <v>1391</v>
      </c>
    </row>
    <row r="339" spans="6:12" x14ac:dyDescent="0.25">
      <c r="F339" t="s">
        <v>1391</v>
      </c>
      <c r="G339" t="b">
        <f>IF(OR(INDEX(IHZ_HAZ_TOTAMOUNT,82,1)&lt;&gt;"",),IF(OR(INDEX(IHZ_HAZ_TOTNETGROSS,82,1)="",INDEX(IHZ_HAZ_TOTUNIT,82,1)="",),FALSE,TRUE),TRUE)</f>
        <v>1</v>
      </c>
      <c r="H339" t="str">
        <f t="shared" si="10"/>
        <v xml:space="preserve">Row 82 - If ‘Total amount’ is given, then ‘Net / Gross’ and ‘Total amount unit’ are required </v>
      </c>
      <c r="I339" t="s">
        <v>1391</v>
      </c>
      <c r="J339" t="b">
        <f>IF(OR(INDEX(OHZ_HAZ_TOTAMOUNT,82,1)&lt;&gt;"",),IF(OR(INDEX(OHZ_HAZ_TOTNETGROSS,82,1)="",INDEX(OHZ_HAZ_TOTUNIT,82,1)="",),FALSE,TRUE),TRUE)</f>
        <v>1</v>
      </c>
      <c r="K339" t="str">
        <f t="shared" si="11"/>
        <v xml:space="preserve">Row 82 - If ‘Total amount’ is given, then ‘Net / Gross’ and ‘Total amount unit’ are required </v>
      </c>
      <c r="L339" t="s">
        <v>1391</v>
      </c>
    </row>
    <row r="340" spans="6:12" x14ac:dyDescent="0.25">
      <c r="F340" t="s">
        <v>1391</v>
      </c>
      <c r="G340" t="b">
        <f>IF(OR(INDEX(IHZ_HAZ_TOTAMOUNT,83,1)&lt;&gt;"",),IF(OR(INDEX(IHZ_HAZ_TOTNETGROSS,83,1)="",INDEX(IHZ_HAZ_TOTUNIT,83,1)="",),FALSE,TRUE),TRUE)</f>
        <v>1</v>
      </c>
      <c r="H340" t="str">
        <f t="shared" si="10"/>
        <v xml:space="preserve">Row 83 - If ‘Total amount’ is given, then ‘Net / Gross’ and ‘Total amount unit’ are required </v>
      </c>
      <c r="I340" t="s">
        <v>1391</v>
      </c>
      <c r="J340" t="b">
        <f>IF(OR(INDEX(OHZ_HAZ_TOTAMOUNT,83,1)&lt;&gt;"",),IF(OR(INDEX(OHZ_HAZ_TOTNETGROSS,83,1)="",INDEX(OHZ_HAZ_TOTUNIT,83,1)="",),FALSE,TRUE),TRUE)</f>
        <v>1</v>
      </c>
      <c r="K340" t="str">
        <f t="shared" si="11"/>
        <v xml:space="preserve">Row 83 - If ‘Total amount’ is given, then ‘Net / Gross’ and ‘Total amount unit’ are required </v>
      </c>
      <c r="L340" t="s">
        <v>1391</v>
      </c>
    </row>
    <row r="341" spans="6:12" x14ac:dyDescent="0.25">
      <c r="F341" t="s">
        <v>1391</v>
      </c>
      <c r="G341" t="b">
        <f>IF(OR(INDEX(IHZ_HAZ_TOTAMOUNT,84,1)&lt;&gt;"",),IF(OR(INDEX(IHZ_HAZ_TOTNETGROSS,84,1)="",INDEX(IHZ_HAZ_TOTUNIT,84,1)="",),FALSE,TRUE),TRUE)</f>
        <v>1</v>
      </c>
      <c r="H341" t="str">
        <f t="shared" si="10"/>
        <v xml:space="preserve">Row 84 - If ‘Total amount’ is given, then ‘Net / Gross’ and ‘Total amount unit’ are required </v>
      </c>
      <c r="I341" t="s">
        <v>1391</v>
      </c>
      <c r="J341" t="b">
        <f>IF(OR(INDEX(OHZ_HAZ_TOTAMOUNT,84,1)&lt;&gt;"",),IF(OR(INDEX(OHZ_HAZ_TOTNETGROSS,84,1)="",INDEX(OHZ_HAZ_TOTUNIT,84,1)="",),FALSE,TRUE),TRUE)</f>
        <v>1</v>
      </c>
      <c r="K341" t="str">
        <f t="shared" si="11"/>
        <v xml:space="preserve">Row 84 - If ‘Total amount’ is given, then ‘Net / Gross’ and ‘Total amount unit’ are required </v>
      </c>
      <c r="L341" t="s">
        <v>1391</v>
      </c>
    </row>
    <row r="342" spans="6:12" x14ac:dyDescent="0.25">
      <c r="F342" t="s">
        <v>1391</v>
      </c>
      <c r="G342" t="b">
        <f>IF(OR(INDEX(IHZ_HAZ_TOTAMOUNT,85,1)&lt;&gt;"",),IF(OR(INDEX(IHZ_HAZ_TOTNETGROSS,85,1)="",INDEX(IHZ_HAZ_TOTUNIT,85,1)="",),FALSE,TRUE),TRUE)</f>
        <v>1</v>
      </c>
      <c r="H342" t="str">
        <f t="shared" si="10"/>
        <v xml:space="preserve">Row 85 - If ‘Total amount’ is given, then ‘Net / Gross’ and ‘Total amount unit’ are required </v>
      </c>
      <c r="I342" t="s">
        <v>1391</v>
      </c>
      <c r="J342" t="b">
        <f>IF(OR(INDEX(OHZ_HAZ_TOTAMOUNT,85,1)&lt;&gt;"",),IF(OR(INDEX(OHZ_HAZ_TOTNETGROSS,85,1)="",INDEX(OHZ_HAZ_TOTUNIT,85,1)="",),FALSE,TRUE),TRUE)</f>
        <v>1</v>
      </c>
      <c r="K342" t="str">
        <f t="shared" si="11"/>
        <v xml:space="preserve">Row 85 - If ‘Total amount’ is given, then ‘Net / Gross’ and ‘Total amount unit’ are required </v>
      </c>
      <c r="L342" t="s">
        <v>1391</v>
      </c>
    </row>
    <row r="343" spans="6:12" x14ac:dyDescent="0.25">
      <c r="F343" t="s">
        <v>1391</v>
      </c>
      <c r="G343" t="b">
        <f>IF(OR(INDEX(IHZ_HAZ_TOTAMOUNT,86,1)&lt;&gt;"",),IF(OR(INDEX(IHZ_HAZ_TOTNETGROSS,86,1)="",INDEX(IHZ_HAZ_TOTUNIT,86,1)="",),FALSE,TRUE),TRUE)</f>
        <v>1</v>
      </c>
      <c r="H343" t="str">
        <f t="shared" si="10"/>
        <v xml:space="preserve">Row 86 - If ‘Total amount’ is given, then ‘Net / Gross’ and ‘Total amount unit’ are required </v>
      </c>
      <c r="I343" t="s">
        <v>1391</v>
      </c>
      <c r="J343" t="b">
        <f>IF(OR(INDEX(OHZ_HAZ_TOTAMOUNT,86,1)&lt;&gt;"",),IF(OR(INDEX(OHZ_HAZ_TOTNETGROSS,86,1)="",INDEX(OHZ_HAZ_TOTUNIT,86,1)="",),FALSE,TRUE),TRUE)</f>
        <v>1</v>
      </c>
      <c r="K343" t="str">
        <f t="shared" si="11"/>
        <v xml:space="preserve">Row 86 - If ‘Total amount’ is given, then ‘Net / Gross’ and ‘Total amount unit’ are required </v>
      </c>
      <c r="L343" t="s">
        <v>1391</v>
      </c>
    </row>
    <row r="344" spans="6:12" x14ac:dyDescent="0.25">
      <c r="F344" t="s">
        <v>1391</v>
      </c>
      <c r="G344" t="b">
        <f>IF(OR(INDEX(IHZ_HAZ_TOTAMOUNT,87,1)&lt;&gt;"",),IF(OR(INDEX(IHZ_HAZ_TOTNETGROSS,87,1)="",INDEX(IHZ_HAZ_TOTUNIT,87,1)="",),FALSE,TRUE),TRUE)</f>
        <v>1</v>
      </c>
      <c r="H344" t="str">
        <f t="shared" si="10"/>
        <v xml:space="preserve">Row 87 - If ‘Total amount’ is given, then ‘Net / Gross’ and ‘Total amount unit’ are required </v>
      </c>
      <c r="I344" t="s">
        <v>1391</v>
      </c>
      <c r="J344" t="b">
        <f>IF(OR(INDEX(OHZ_HAZ_TOTAMOUNT,87,1)&lt;&gt;"",),IF(OR(INDEX(OHZ_HAZ_TOTNETGROSS,87,1)="",INDEX(OHZ_HAZ_TOTUNIT,87,1)="",),FALSE,TRUE),TRUE)</f>
        <v>1</v>
      </c>
      <c r="K344" t="str">
        <f t="shared" si="11"/>
        <v xml:space="preserve">Row 87 - If ‘Total amount’ is given, then ‘Net / Gross’ and ‘Total amount unit’ are required </v>
      </c>
      <c r="L344" t="s">
        <v>1391</v>
      </c>
    </row>
    <row r="345" spans="6:12" x14ac:dyDescent="0.25">
      <c r="F345" t="s">
        <v>1391</v>
      </c>
      <c r="G345" t="b">
        <f>IF(OR(INDEX(IHZ_HAZ_TOTAMOUNT,88,1)&lt;&gt;"",),IF(OR(INDEX(IHZ_HAZ_TOTNETGROSS,88,1)="",INDEX(IHZ_HAZ_TOTUNIT,88,1)="",),FALSE,TRUE),TRUE)</f>
        <v>1</v>
      </c>
      <c r="H345" t="str">
        <f t="shared" si="10"/>
        <v xml:space="preserve">Row 88 - If ‘Total amount’ is given, then ‘Net / Gross’ and ‘Total amount unit’ are required </v>
      </c>
      <c r="I345" t="s">
        <v>1391</v>
      </c>
      <c r="J345" t="b">
        <f>IF(OR(INDEX(OHZ_HAZ_TOTAMOUNT,88,1)&lt;&gt;"",),IF(OR(INDEX(OHZ_HAZ_TOTNETGROSS,88,1)="",INDEX(OHZ_HAZ_TOTUNIT,88,1)="",),FALSE,TRUE),TRUE)</f>
        <v>1</v>
      </c>
      <c r="K345" t="str">
        <f t="shared" si="11"/>
        <v xml:space="preserve">Row 88 - If ‘Total amount’ is given, then ‘Net / Gross’ and ‘Total amount unit’ are required </v>
      </c>
      <c r="L345" t="s">
        <v>1391</v>
      </c>
    </row>
    <row r="346" spans="6:12" x14ac:dyDescent="0.25">
      <c r="F346" t="s">
        <v>1391</v>
      </c>
      <c r="G346" t="b">
        <f>IF(OR(INDEX(IHZ_HAZ_TOTAMOUNT,89,1)&lt;&gt;"",),IF(OR(INDEX(IHZ_HAZ_TOTNETGROSS,89,1)="",INDEX(IHZ_HAZ_TOTUNIT,89,1)="",),FALSE,TRUE),TRUE)</f>
        <v>1</v>
      </c>
      <c r="H346" t="str">
        <f t="shared" si="10"/>
        <v xml:space="preserve">Row 89 - If ‘Total amount’ is given, then ‘Net / Gross’ and ‘Total amount unit’ are required </v>
      </c>
      <c r="I346" t="s">
        <v>1391</v>
      </c>
      <c r="J346" t="b">
        <f>IF(OR(INDEX(OHZ_HAZ_TOTAMOUNT,89,1)&lt;&gt;"",),IF(OR(INDEX(OHZ_HAZ_TOTNETGROSS,89,1)="",INDEX(OHZ_HAZ_TOTUNIT,89,1)="",),FALSE,TRUE),TRUE)</f>
        <v>1</v>
      </c>
      <c r="K346" t="str">
        <f t="shared" si="11"/>
        <v xml:space="preserve">Row 89 - If ‘Total amount’ is given, then ‘Net / Gross’ and ‘Total amount unit’ are required </v>
      </c>
      <c r="L346" t="s">
        <v>1391</v>
      </c>
    </row>
    <row r="347" spans="6:12" x14ac:dyDescent="0.25">
      <c r="F347" t="s">
        <v>1391</v>
      </c>
      <c r="G347" t="b">
        <f>IF(OR(INDEX(IHZ_HAZ_TOTAMOUNT,90,1)&lt;&gt;"",),IF(OR(INDEX(IHZ_HAZ_TOTNETGROSS,90,1)="",INDEX(IHZ_HAZ_TOTUNIT,90,1)="",),FALSE,TRUE),TRUE)</f>
        <v>1</v>
      </c>
      <c r="H347" t="str">
        <f t="shared" si="10"/>
        <v xml:space="preserve">Row 90 - If ‘Total amount’ is given, then ‘Net / Gross’ and ‘Total amount unit’ are required </v>
      </c>
      <c r="I347" t="s">
        <v>1391</v>
      </c>
      <c r="J347" t="b">
        <f>IF(OR(INDEX(OHZ_HAZ_TOTAMOUNT,90,1)&lt;&gt;"",),IF(OR(INDEX(OHZ_HAZ_TOTNETGROSS,90,1)="",INDEX(OHZ_HAZ_TOTUNIT,90,1)="",),FALSE,TRUE),TRUE)</f>
        <v>1</v>
      </c>
      <c r="K347" t="str">
        <f t="shared" si="11"/>
        <v xml:space="preserve">Row 90 - If ‘Total amount’ is given, then ‘Net / Gross’ and ‘Total amount unit’ are required </v>
      </c>
      <c r="L347" t="s">
        <v>1391</v>
      </c>
    </row>
    <row r="348" spans="6:12" x14ac:dyDescent="0.25">
      <c r="F348" t="s">
        <v>1391</v>
      </c>
      <c r="G348" t="b">
        <f>IF(OR(INDEX(IHZ_HAZ_TOTAMOUNT,91,1)&lt;&gt;"",),IF(OR(INDEX(IHZ_HAZ_TOTNETGROSS,91,1)="",INDEX(IHZ_HAZ_TOTUNIT,91,1)="",),FALSE,TRUE),TRUE)</f>
        <v>1</v>
      </c>
      <c r="H348" t="str">
        <f t="shared" si="10"/>
        <v xml:space="preserve">Row 91 - If ‘Total amount’ is given, then ‘Net / Gross’ and ‘Total amount unit’ are required </v>
      </c>
      <c r="I348" t="s">
        <v>1391</v>
      </c>
      <c r="J348" t="b">
        <f>IF(OR(INDEX(OHZ_HAZ_TOTAMOUNT,91,1)&lt;&gt;"",),IF(OR(INDEX(OHZ_HAZ_TOTNETGROSS,91,1)="",INDEX(OHZ_HAZ_TOTUNIT,91,1)="",),FALSE,TRUE),TRUE)</f>
        <v>1</v>
      </c>
      <c r="K348" t="str">
        <f t="shared" si="11"/>
        <v xml:space="preserve">Row 91 - If ‘Total amount’ is given, then ‘Net / Gross’ and ‘Total amount unit’ are required </v>
      </c>
      <c r="L348" t="s">
        <v>1391</v>
      </c>
    </row>
    <row r="349" spans="6:12" x14ac:dyDescent="0.25">
      <c r="F349" t="s">
        <v>1391</v>
      </c>
      <c r="G349" t="b">
        <f>IF(OR(INDEX(IHZ_HAZ_TOTAMOUNT,92,1)&lt;&gt;"",),IF(OR(INDEX(IHZ_HAZ_TOTNETGROSS,92,1)="",INDEX(IHZ_HAZ_TOTUNIT,92,1)="",),FALSE,TRUE),TRUE)</f>
        <v>1</v>
      </c>
      <c r="H349" t="str">
        <f t="shared" si="10"/>
        <v xml:space="preserve">Row 92 - If ‘Total amount’ is given, then ‘Net / Gross’ and ‘Total amount unit’ are required </v>
      </c>
      <c r="I349" t="s">
        <v>1391</v>
      </c>
      <c r="J349" t="b">
        <f>IF(OR(INDEX(OHZ_HAZ_TOTAMOUNT,92,1)&lt;&gt;"",),IF(OR(INDEX(OHZ_HAZ_TOTNETGROSS,92,1)="",INDEX(OHZ_HAZ_TOTUNIT,92,1)="",),FALSE,TRUE),TRUE)</f>
        <v>1</v>
      </c>
      <c r="K349" t="str">
        <f t="shared" si="11"/>
        <v xml:space="preserve">Row 92 - If ‘Total amount’ is given, then ‘Net / Gross’ and ‘Total amount unit’ are required </v>
      </c>
      <c r="L349" t="s">
        <v>1391</v>
      </c>
    </row>
    <row r="350" spans="6:12" x14ac:dyDescent="0.25">
      <c r="F350" t="s">
        <v>1391</v>
      </c>
      <c r="G350" t="b">
        <f>IF(OR(INDEX(IHZ_HAZ_TOTAMOUNT,93,1)&lt;&gt;"",),IF(OR(INDEX(IHZ_HAZ_TOTNETGROSS,93,1)="",INDEX(IHZ_HAZ_TOTUNIT,93,1)="",),FALSE,TRUE),TRUE)</f>
        <v>1</v>
      </c>
      <c r="H350" t="str">
        <f t="shared" si="10"/>
        <v xml:space="preserve">Row 93 - If ‘Total amount’ is given, then ‘Net / Gross’ and ‘Total amount unit’ are required </v>
      </c>
      <c r="I350" t="s">
        <v>1391</v>
      </c>
      <c r="J350" t="b">
        <f>IF(OR(INDEX(OHZ_HAZ_TOTAMOUNT,93,1)&lt;&gt;"",),IF(OR(INDEX(OHZ_HAZ_TOTNETGROSS,93,1)="",INDEX(OHZ_HAZ_TOTUNIT,93,1)="",),FALSE,TRUE),TRUE)</f>
        <v>1</v>
      </c>
      <c r="K350" t="str">
        <f t="shared" si="11"/>
        <v xml:space="preserve">Row 93 - If ‘Total amount’ is given, then ‘Net / Gross’ and ‘Total amount unit’ are required </v>
      </c>
      <c r="L350" t="s">
        <v>1391</v>
      </c>
    </row>
    <row r="351" spans="6:12" x14ac:dyDescent="0.25">
      <c r="F351" t="s">
        <v>1391</v>
      </c>
      <c r="G351" t="b">
        <f>IF(OR(INDEX(IHZ_HAZ_TOTAMOUNT,94,1)&lt;&gt;"",),IF(OR(INDEX(IHZ_HAZ_TOTNETGROSS,94,1)="",INDEX(IHZ_HAZ_TOTUNIT,94,1)="",),FALSE,TRUE),TRUE)</f>
        <v>1</v>
      </c>
      <c r="H351" t="str">
        <f t="shared" si="10"/>
        <v xml:space="preserve">Row 94 - If ‘Total amount’ is given, then ‘Net / Gross’ and ‘Total amount unit’ are required </v>
      </c>
      <c r="I351" t="s">
        <v>1391</v>
      </c>
      <c r="J351" t="b">
        <f>IF(OR(INDEX(OHZ_HAZ_TOTAMOUNT,94,1)&lt;&gt;"",),IF(OR(INDEX(OHZ_HAZ_TOTNETGROSS,94,1)="",INDEX(OHZ_HAZ_TOTUNIT,94,1)="",),FALSE,TRUE),TRUE)</f>
        <v>1</v>
      </c>
      <c r="K351" t="str">
        <f t="shared" si="11"/>
        <v xml:space="preserve">Row 94 - If ‘Total amount’ is given, then ‘Net / Gross’ and ‘Total amount unit’ are required </v>
      </c>
      <c r="L351" t="s">
        <v>1391</v>
      </c>
    </row>
    <row r="352" spans="6:12" x14ac:dyDescent="0.25">
      <c r="F352" t="s">
        <v>1391</v>
      </c>
      <c r="G352" t="b">
        <f>IF(OR(INDEX(IHZ_HAZ_TOTAMOUNT,95,1)&lt;&gt;"",),IF(OR(INDEX(IHZ_HAZ_TOTNETGROSS,95,1)="",INDEX(IHZ_HAZ_TOTUNIT,95,1)="",),FALSE,TRUE),TRUE)</f>
        <v>1</v>
      </c>
      <c r="H352" t="str">
        <f t="shared" si="10"/>
        <v xml:space="preserve">Row 95 - If ‘Total amount’ is given, then ‘Net / Gross’ and ‘Total amount unit’ are required </v>
      </c>
      <c r="I352" t="s">
        <v>1391</v>
      </c>
      <c r="J352" t="b">
        <f>IF(OR(INDEX(OHZ_HAZ_TOTAMOUNT,95,1)&lt;&gt;"",),IF(OR(INDEX(OHZ_HAZ_TOTNETGROSS,95,1)="",INDEX(OHZ_HAZ_TOTUNIT,95,1)="",),FALSE,TRUE),TRUE)</f>
        <v>1</v>
      </c>
      <c r="K352" t="str">
        <f t="shared" si="11"/>
        <v xml:space="preserve">Row 95 - If ‘Total amount’ is given, then ‘Net / Gross’ and ‘Total amount unit’ are required </v>
      </c>
      <c r="L352" t="s">
        <v>1391</v>
      </c>
    </row>
    <row r="353" spans="6:12" x14ac:dyDescent="0.25">
      <c r="F353" t="s">
        <v>1391</v>
      </c>
      <c r="G353" t="b">
        <f>IF(OR(INDEX(IHZ_HAZ_TOTAMOUNT,96,1)&lt;&gt;"",),IF(OR(INDEX(IHZ_HAZ_TOTNETGROSS,96,1)="",INDEX(IHZ_HAZ_TOTUNIT,96,1)="",),FALSE,TRUE),TRUE)</f>
        <v>1</v>
      </c>
      <c r="H353" t="str">
        <f t="shared" si="10"/>
        <v xml:space="preserve">Row 96 - If ‘Total amount’ is given, then ‘Net / Gross’ and ‘Total amount unit’ are required </v>
      </c>
      <c r="I353" t="s">
        <v>1391</v>
      </c>
      <c r="J353" t="b">
        <f>IF(OR(INDEX(OHZ_HAZ_TOTAMOUNT,96,1)&lt;&gt;"",),IF(OR(INDEX(OHZ_HAZ_TOTNETGROSS,96,1)="",INDEX(OHZ_HAZ_TOTUNIT,96,1)="",),FALSE,TRUE),TRUE)</f>
        <v>1</v>
      </c>
      <c r="K353" t="str">
        <f t="shared" si="11"/>
        <v xml:space="preserve">Row 96 - If ‘Total amount’ is given, then ‘Net / Gross’ and ‘Total amount unit’ are required </v>
      </c>
      <c r="L353" t="s">
        <v>1391</v>
      </c>
    </row>
    <row r="354" spans="6:12" x14ac:dyDescent="0.25">
      <c r="F354" t="s">
        <v>1391</v>
      </c>
      <c r="G354" t="b">
        <f>IF(OR(INDEX(IHZ_HAZ_TOTAMOUNT,97,1)&lt;&gt;"",),IF(OR(INDEX(IHZ_HAZ_TOTNETGROSS,97,1)="",INDEX(IHZ_HAZ_TOTUNIT,97,1)="",),FALSE,TRUE),TRUE)</f>
        <v>1</v>
      </c>
      <c r="H354" t="str">
        <f t="shared" si="10"/>
        <v xml:space="preserve">Row 97 - If ‘Total amount’ is given, then ‘Net / Gross’ and ‘Total amount unit’ are required </v>
      </c>
      <c r="I354" t="s">
        <v>1391</v>
      </c>
      <c r="J354" t="b">
        <f>IF(OR(INDEX(OHZ_HAZ_TOTAMOUNT,97,1)&lt;&gt;"",),IF(OR(INDEX(OHZ_HAZ_TOTNETGROSS,97,1)="",INDEX(OHZ_HAZ_TOTUNIT,97,1)="",),FALSE,TRUE),TRUE)</f>
        <v>1</v>
      </c>
      <c r="K354" t="str">
        <f t="shared" si="11"/>
        <v xml:space="preserve">Row 97 - If ‘Total amount’ is given, then ‘Net / Gross’ and ‘Total amount unit’ are required </v>
      </c>
      <c r="L354" t="s">
        <v>1391</v>
      </c>
    </row>
    <row r="355" spans="6:12" x14ac:dyDescent="0.25">
      <c r="F355" t="s">
        <v>1391</v>
      </c>
      <c r="G355" t="b">
        <f>IF(OR(INDEX(IHZ_HAZ_TOTAMOUNT,98,1)&lt;&gt;"",),IF(OR(INDEX(IHZ_HAZ_TOTNETGROSS,98,1)="",INDEX(IHZ_HAZ_TOTUNIT,98,1)="",),FALSE,TRUE),TRUE)</f>
        <v>1</v>
      </c>
      <c r="H355" t="str">
        <f t="shared" si="10"/>
        <v xml:space="preserve">Row 98 - If ‘Total amount’ is given, then ‘Net / Gross’ and ‘Total amount unit’ are required </v>
      </c>
      <c r="I355" t="s">
        <v>1391</v>
      </c>
      <c r="J355" t="b">
        <f>IF(OR(INDEX(OHZ_HAZ_TOTAMOUNT,98,1)&lt;&gt;"",),IF(OR(INDEX(OHZ_HAZ_TOTNETGROSS,98,1)="",INDEX(OHZ_HAZ_TOTUNIT,98,1)="",),FALSE,TRUE),TRUE)</f>
        <v>1</v>
      </c>
      <c r="K355" t="str">
        <f t="shared" si="11"/>
        <v xml:space="preserve">Row 98 - If ‘Total amount’ is given, then ‘Net / Gross’ and ‘Total amount unit’ are required </v>
      </c>
      <c r="L355" t="s">
        <v>1391</v>
      </c>
    </row>
    <row r="356" spans="6:12" x14ac:dyDescent="0.25">
      <c r="F356" t="s">
        <v>1391</v>
      </c>
      <c r="G356" t="b">
        <f>IF(OR(INDEX(IHZ_HAZ_TOTAMOUNT,99,1)&lt;&gt;"",),IF(OR(INDEX(IHZ_HAZ_TOTNETGROSS,99,1)="",INDEX(IHZ_HAZ_TOTUNIT,99,1)="",),FALSE,TRUE),TRUE)</f>
        <v>1</v>
      </c>
      <c r="H356" t="str">
        <f t="shared" si="10"/>
        <v xml:space="preserve">Row 99 - If ‘Total amount’ is given, then ‘Net / Gross’ and ‘Total amount unit’ are required </v>
      </c>
      <c r="I356" t="s">
        <v>1391</v>
      </c>
      <c r="J356" t="b">
        <f>IF(OR(INDEX(OHZ_HAZ_TOTAMOUNT,99,1)&lt;&gt;"",),IF(OR(INDEX(OHZ_HAZ_TOTNETGROSS,99,1)="",INDEX(OHZ_HAZ_TOTUNIT,99,1)="",),FALSE,TRUE),TRUE)</f>
        <v>1</v>
      </c>
      <c r="K356" t="str">
        <f t="shared" si="11"/>
        <v xml:space="preserve">Row 99 - If ‘Total amount’ is given, then ‘Net / Gross’ and ‘Total amount unit’ are required </v>
      </c>
      <c r="L356" t="s">
        <v>1391</v>
      </c>
    </row>
    <row r="357" spans="6:12" x14ac:dyDescent="0.25">
      <c r="F357" t="s">
        <v>1391</v>
      </c>
      <c r="G357" t="b">
        <f>IF(OR(INDEX(IHZ_HAZ_TOTAMOUNT,100,1)&lt;&gt;"",),IF(OR(INDEX(IHZ_HAZ_TOTNETGROSS,100,1)="",INDEX(IHZ_HAZ_TOTUNIT,100,1)="",),FALSE,TRUE),TRUE)</f>
        <v>1</v>
      </c>
      <c r="H357" t="str">
        <f t="shared" si="10"/>
        <v xml:space="preserve">Row 100 - If ‘Total amount’ is given, then ‘Net / Gross’ and ‘Total amount unit’ are required </v>
      </c>
      <c r="I357" t="s">
        <v>1391</v>
      </c>
      <c r="J357" t="b">
        <f>IF(OR(INDEX(OHZ_HAZ_TOTAMOUNT,100,1)&lt;&gt;"",),IF(OR(INDEX(OHZ_HAZ_TOTNETGROSS,100,1)="",INDEX(OHZ_HAZ_TOTUNIT,100,1)="",),FALSE,TRUE),TRUE)</f>
        <v>1</v>
      </c>
      <c r="K357" t="str">
        <f t="shared" si="11"/>
        <v xml:space="preserve">Row 100 - If ‘Total amount’ is given, then ‘Net / Gross’ and ‘Total amount unit’ are required </v>
      </c>
      <c r="L357" t="s">
        <v>1391</v>
      </c>
    </row>
    <row r="358" spans="6:12" x14ac:dyDescent="0.25">
      <c r="F358" t="s">
        <v>1391</v>
      </c>
      <c r="G358" t="b">
        <f>IF(OR(INDEX(IHZ_HAZ_TOTAMOUNT,101,1)&lt;&gt;"",),IF(OR(INDEX(IHZ_HAZ_TOTNETGROSS,101,1)="",INDEX(IHZ_HAZ_TOTUNIT,101,1)="",),FALSE,TRUE),TRUE)</f>
        <v>1</v>
      </c>
      <c r="H358" t="str">
        <f t="shared" si="10"/>
        <v xml:space="preserve">Row 101 - If ‘Total amount’ is given, then ‘Net / Gross’ and ‘Total amount unit’ are required </v>
      </c>
      <c r="I358" t="s">
        <v>1391</v>
      </c>
      <c r="J358" t="b">
        <f>IF(OR(INDEX(OHZ_HAZ_TOTAMOUNT,101,1)&lt;&gt;"",),IF(OR(INDEX(OHZ_HAZ_TOTNETGROSS,101,1)="",INDEX(OHZ_HAZ_TOTUNIT,101,1)="",),FALSE,TRUE),TRUE)</f>
        <v>1</v>
      </c>
      <c r="K358" t="str">
        <f t="shared" si="11"/>
        <v xml:space="preserve">Row 101 - If ‘Total amount’ is given, then ‘Net / Gross’ and ‘Total amount unit’ are required </v>
      </c>
      <c r="L358" t="s">
        <v>1391</v>
      </c>
    </row>
    <row r="359" spans="6:12" x14ac:dyDescent="0.25">
      <c r="F359" t="s">
        <v>1391</v>
      </c>
      <c r="G359" t="b">
        <f>IF(OR(INDEX(IHZ_HAZ_TOTAMOUNT,102,1)&lt;&gt;"",),IF(OR(INDEX(IHZ_HAZ_TOTNETGROSS,102,1)="",INDEX(IHZ_HAZ_TOTUNIT,102,1)="",),FALSE,TRUE),TRUE)</f>
        <v>1</v>
      </c>
      <c r="H359" t="str">
        <f t="shared" si="10"/>
        <v xml:space="preserve">Row 102 - If ‘Total amount’ is given, then ‘Net / Gross’ and ‘Total amount unit’ are required </v>
      </c>
      <c r="I359" t="s">
        <v>1391</v>
      </c>
      <c r="J359" t="b">
        <f>IF(OR(INDEX(OHZ_HAZ_TOTAMOUNT,102,1)&lt;&gt;"",),IF(OR(INDEX(OHZ_HAZ_TOTNETGROSS,102,1)="",INDEX(OHZ_HAZ_TOTUNIT,102,1)="",),FALSE,TRUE),TRUE)</f>
        <v>1</v>
      </c>
      <c r="K359" t="str">
        <f t="shared" si="11"/>
        <v xml:space="preserve">Row 102 - If ‘Total amount’ is given, then ‘Net / Gross’ and ‘Total amount unit’ are required </v>
      </c>
      <c r="L359" t="s">
        <v>1391</v>
      </c>
    </row>
    <row r="360" spans="6:12" x14ac:dyDescent="0.25">
      <c r="F360" t="s">
        <v>1391</v>
      </c>
      <c r="G360" t="b">
        <f>IF(OR(INDEX(IHZ_HAZ_TOTAMOUNT,103,1)&lt;&gt;"",),IF(OR(INDEX(IHZ_HAZ_TOTNETGROSS,103,1)="",INDEX(IHZ_HAZ_TOTUNIT,103,1)="",),FALSE,TRUE),TRUE)</f>
        <v>1</v>
      </c>
      <c r="H360" t="str">
        <f t="shared" si="10"/>
        <v xml:space="preserve">Row 103 - If ‘Total amount’ is given, then ‘Net / Gross’ and ‘Total amount unit’ are required </v>
      </c>
      <c r="I360" t="s">
        <v>1391</v>
      </c>
      <c r="J360" t="b">
        <f>IF(OR(INDEX(OHZ_HAZ_TOTAMOUNT,103,1)&lt;&gt;"",),IF(OR(INDEX(OHZ_HAZ_TOTNETGROSS,103,1)="",INDEX(OHZ_HAZ_TOTUNIT,103,1)="",),FALSE,TRUE),TRUE)</f>
        <v>1</v>
      </c>
      <c r="K360" t="str">
        <f t="shared" si="11"/>
        <v xml:space="preserve">Row 103 - If ‘Total amount’ is given, then ‘Net / Gross’ and ‘Total amount unit’ are required </v>
      </c>
      <c r="L360" t="s">
        <v>1391</v>
      </c>
    </row>
    <row r="361" spans="6:12" x14ac:dyDescent="0.25">
      <c r="F361" t="s">
        <v>1391</v>
      </c>
      <c r="G361" t="b">
        <f>IF(OR(INDEX(IHZ_HAZ_TOTAMOUNT,104,1)&lt;&gt;"",),IF(OR(INDEX(IHZ_HAZ_TOTNETGROSS,104,1)="",INDEX(IHZ_HAZ_TOTUNIT,104,1)="",),FALSE,TRUE),TRUE)</f>
        <v>1</v>
      </c>
      <c r="H361" t="str">
        <f t="shared" si="10"/>
        <v xml:space="preserve">Row 104 - If ‘Total amount’ is given, then ‘Net / Gross’ and ‘Total amount unit’ are required </v>
      </c>
      <c r="I361" t="s">
        <v>1391</v>
      </c>
      <c r="J361" t="b">
        <f>IF(OR(INDEX(OHZ_HAZ_TOTAMOUNT,104,1)&lt;&gt;"",),IF(OR(INDEX(OHZ_HAZ_TOTNETGROSS,104,1)="",INDEX(OHZ_HAZ_TOTUNIT,104,1)="",),FALSE,TRUE),TRUE)</f>
        <v>1</v>
      </c>
      <c r="K361" t="str">
        <f t="shared" si="11"/>
        <v xml:space="preserve">Row 104 - If ‘Total amount’ is given, then ‘Net / Gross’ and ‘Total amount unit’ are required </v>
      </c>
      <c r="L361" t="s">
        <v>1391</v>
      </c>
    </row>
    <row r="362" spans="6:12" x14ac:dyDescent="0.25">
      <c r="F362" t="s">
        <v>1391</v>
      </c>
      <c r="G362" t="b">
        <f>IF(OR(INDEX(IHZ_HAZ_TOTAMOUNT,105,1)&lt;&gt;"",),IF(OR(INDEX(IHZ_HAZ_TOTNETGROSS,105,1)="",INDEX(IHZ_HAZ_TOTUNIT,105,1)="",),FALSE,TRUE),TRUE)</f>
        <v>1</v>
      </c>
      <c r="H362" t="str">
        <f t="shared" si="10"/>
        <v xml:space="preserve">Row 105 - If ‘Total amount’ is given, then ‘Net / Gross’ and ‘Total amount unit’ are required </v>
      </c>
      <c r="I362" t="s">
        <v>1391</v>
      </c>
      <c r="J362" t="b">
        <f>IF(OR(INDEX(OHZ_HAZ_TOTAMOUNT,105,1)&lt;&gt;"",),IF(OR(INDEX(OHZ_HAZ_TOTNETGROSS,105,1)="",INDEX(OHZ_HAZ_TOTUNIT,105,1)="",),FALSE,TRUE),TRUE)</f>
        <v>1</v>
      </c>
      <c r="K362" t="str">
        <f t="shared" si="11"/>
        <v xml:space="preserve">Row 105 - If ‘Total amount’ is given, then ‘Net / Gross’ and ‘Total amount unit’ are required </v>
      </c>
      <c r="L362" t="s">
        <v>1391</v>
      </c>
    </row>
    <row r="363" spans="6:12" x14ac:dyDescent="0.25">
      <c r="F363" t="s">
        <v>1391</v>
      </c>
      <c r="G363" t="b">
        <f>IF(OR(INDEX(IHZ_HAZ_TOTAMOUNT,106,1)&lt;&gt;"",),IF(OR(INDEX(IHZ_HAZ_TOTNETGROSS,106,1)="",INDEX(IHZ_HAZ_TOTUNIT,106,1)="",),FALSE,TRUE),TRUE)</f>
        <v>1</v>
      </c>
      <c r="H363" t="str">
        <f t="shared" si="10"/>
        <v xml:space="preserve">Row 106 - If ‘Total amount’ is given, then ‘Net / Gross’ and ‘Total amount unit’ are required </v>
      </c>
      <c r="I363" t="s">
        <v>1391</v>
      </c>
      <c r="J363" t="b">
        <f>IF(OR(INDEX(OHZ_HAZ_TOTAMOUNT,106,1)&lt;&gt;"",),IF(OR(INDEX(OHZ_HAZ_TOTNETGROSS,106,1)="",INDEX(OHZ_HAZ_TOTUNIT,106,1)="",),FALSE,TRUE),TRUE)</f>
        <v>1</v>
      </c>
      <c r="K363" t="str">
        <f t="shared" si="11"/>
        <v xml:space="preserve">Row 106 - If ‘Total amount’ is given, then ‘Net / Gross’ and ‘Total amount unit’ are required </v>
      </c>
      <c r="L363" t="s">
        <v>1391</v>
      </c>
    </row>
    <row r="364" spans="6:12" x14ac:dyDescent="0.25">
      <c r="F364" t="s">
        <v>1391</v>
      </c>
      <c r="G364" t="b">
        <f>IF(OR(INDEX(IHZ_HAZ_TOTAMOUNT,107,1)&lt;&gt;"",),IF(OR(INDEX(IHZ_HAZ_TOTNETGROSS,107,1)="",INDEX(IHZ_HAZ_TOTUNIT,107,1)="",),FALSE,TRUE),TRUE)</f>
        <v>1</v>
      </c>
      <c r="H364" t="str">
        <f t="shared" si="10"/>
        <v xml:space="preserve">Row 107 - If ‘Total amount’ is given, then ‘Net / Gross’ and ‘Total amount unit’ are required </v>
      </c>
      <c r="I364" t="s">
        <v>1391</v>
      </c>
      <c r="J364" t="b">
        <f>IF(OR(INDEX(OHZ_HAZ_TOTAMOUNT,107,1)&lt;&gt;"",),IF(OR(INDEX(OHZ_HAZ_TOTNETGROSS,107,1)="",INDEX(OHZ_HAZ_TOTUNIT,107,1)="",),FALSE,TRUE),TRUE)</f>
        <v>1</v>
      </c>
      <c r="K364" t="str">
        <f t="shared" si="11"/>
        <v xml:space="preserve">Row 107 - If ‘Total amount’ is given, then ‘Net / Gross’ and ‘Total amount unit’ are required </v>
      </c>
      <c r="L364" t="s">
        <v>1391</v>
      </c>
    </row>
    <row r="365" spans="6:12" x14ac:dyDescent="0.25">
      <c r="F365" t="s">
        <v>1391</v>
      </c>
      <c r="G365" t="b">
        <f>IF(OR(INDEX(IHZ_HAZ_TOTAMOUNT,108,1)&lt;&gt;"",),IF(OR(INDEX(IHZ_HAZ_TOTNETGROSS,108,1)="",INDEX(IHZ_HAZ_TOTUNIT,108,1)="",),FALSE,TRUE),TRUE)</f>
        <v>1</v>
      </c>
      <c r="H365" t="str">
        <f t="shared" si="10"/>
        <v xml:space="preserve">Row 108 - If ‘Total amount’ is given, then ‘Net / Gross’ and ‘Total amount unit’ are required </v>
      </c>
      <c r="I365" t="s">
        <v>1391</v>
      </c>
      <c r="J365" t="b">
        <f>IF(OR(INDEX(OHZ_HAZ_TOTAMOUNT,108,1)&lt;&gt;"",),IF(OR(INDEX(OHZ_HAZ_TOTNETGROSS,108,1)="",INDEX(OHZ_HAZ_TOTUNIT,108,1)="",),FALSE,TRUE),TRUE)</f>
        <v>1</v>
      </c>
      <c r="K365" t="str">
        <f t="shared" si="11"/>
        <v xml:space="preserve">Row 108 - If ‘Total amount’ is given, then ‘Net / Gross’ and ‘Total amount unit’ are required </v>
      </c>
      <c r="L365" t="s">
        <v>1391</v>
      </c>
    </row>
    <row r="366" spans="6:12" x14ac:dyDescent="0.25">
      <c r="F366" t="s">
        <v>1391</v>
      </c>
      <c r="G366" t="b">
        <f>IF(OR(INDEX(IHZ_HAZ_TOTAMOUNT,109,1)&lt;&gt;"",),IF(OR(INDEX(IHZ_HAZ_TOTNETGROSS,109,1)="",INDEX(IHZ_HAZ_TOTUNIT,109,1)="",),FALSE,TRUE),TRUE)</f>
        <v>1</v>
      </c>
      <c r="H366" t="str">
        <f t="shared" si="10"/>
        <v xml:space="preserve">Row 109 - If ‘Total amount’ is given, then ‘Net / Gross’ and ‘Total amount unit’ are required </v>
      </c>
      <c r="I366" t="s">
        <v>1391</v>
      </c>
      <c r="J366" t="b">
        <f>IF(OR(INDEX(OHZ_HAZ_TOTAMOUNT,109,1)&lt;&gt;"",),IF(OR(INDEX(OHZ_HAZ_TOTNETGROSS,109,1)="",INDEX(OHZ_HAZ_TOTUNIT,109,1)="",),FALSE,TRUE),TRUE)</f>
        <v>1</v>
      </c>
      <c r="K366" t="str">
        <f t="shared" si="11"/>
        <v xml:space="preserve">Row 109 - If ‘Total amount’ is given, then ‘Net / Gross’ and ‘Total amount unit’ are required </v>
      </c>
      <c r="L366" t="s">
        <v>1391</v>
      </c>
    </row>
    <row r="367" spans="6:12" x14ac:dyDescent="0.25">
      <c r="F367" t="s">
        <v>1391</v>
      </c>
      <c r="G367" t="b">
        <f>IF(OR(INDEX(IHZ_HAZ_TOTAMOUNT,110,1)&lt;&gt;"",),IF(OR(INDEX(IHZ_HAZ_TOTNETGROSS,110,1)="",INDEX(IHZ_HAZ_TOTUNIT,110,1)="",),FALSE,TRUE),TRUE)</f>
        <v>1</v>
      </c>
      <c r="H367" t="str">
        <f t="shared" si="10"/>
        <v xml:space="preserve">Row 110 - If ‘Total amount’ is given, then ‘Net / Gross’ and ‘Total amount unit’ are required </v>
      </c>
      <c r="I367" t="s">
        <v>1391</v>
      </c>
      <c r="J367" t="b">
        <f>IF(OR(INDEX(OHZ_HAZ_TOTAMOUNT,110,1)&lt;&gt;"",),IF(OR(INDEX(OHZ_HAZ_TOTNETGROSS,110,1)="",INDEX(OHZ_HAZ_TOTUNIT,110,1)="",),FALSE,TRUE),TRUE)</f>
        <v>1</v>
      </c>
      <c r="K367" t="str">
        <f t="shared" si="11"/>
        <v xml:space="preserve">Row 110 - If ‘Total amount’ is given, then ‘Net / Gross’ and ‘Total amount unit’ are required </v>
      </c>
      <c r="L367" t="s">
        <v>1391</v>
      </c>
    </row>
    <row r="368" spans="6:12" x14ac:dyDescent="0.25">
      <c r="F368" t="s">
        <v>1391</v>
      </c>
      <c r="G368" t="b">
        <f>IF(OR(INDEX(IHZ_HAZ_TOTAMOUNT,111,1)&lt;&gt;"",),IF(OR(INDEX(IHZ_HAZ_TOTNETGROSS,111,1)="",INDEX(IHZ_HAZ_TOTUNIT,111,1)="",),FALSE,TRUE),TRUE)</f>
        <v>1</v>
      </c>
      <c r="H368" t="str">
        <f t="shared" si="10"/>
        <v xml:space="preserve">Row 111 - If ‘Total amount’ is given, then ‘Net / Gross’ and ‘Total amount unit’ are required </v>
      </c>
      <c r="I368" t="s">
        <v>1391</v>
      </c>
      <c r="J368" t="b">
        <f>IF(OR(INDEX(OHZ_HAZ_TOTAMOUNT,111,1)&lt;&gt;"",),IF(OR(INDEX(OHZ_HAZ_TOTNETGROSS,111,1)="",INDEX(OHZ_HAZ_TOTUNIT,111,1)="",),FALSE,TRUE),TRUE)</f>
        <v>1</v>
      </c>
      <c r="K368" t="str">
        <f t="shared" si="11"/>
        <v xml:space="preserve">Row 111 - If ‘Total amount’ is given, then ‘Net / Gross’ and ‘Total amount unit’ are required </v>
      </c>
      <c r="L368" t="s">
        <v>1391</v>
      </c>
    </row>
    <row r="369" spans="6:12" x14ac:dyDescent="0.25">
      <c r="F369" t="s">
        <v>1391</v>
      </c>
      <c r="G369" t="b">
        <f>IF(OR(INDEX(IHZ_HAZ_TOTAMOUNT,112,1)&lt;&gt;"",),IF(OR(INDEX(IHZ_HAZ_TOTNETGROSS,112,1)="",INDEX(IHZ_HAZ_TOTUNIT,112,1)="",),FALSE,TRUE),TRUE)</f>
        <v>1</v>
      </c>
      <c r="H369" t="str">
        <f t="shared" si="10"/>
        <v xml:space="preserve">Row 112 - If ‘Total amount’ is given, then ‘Net / Gross’ and ‘Total amount unit’ are required </v>
      </c>
      <c r="I369" t="s">
        <v>1391</v>
      </c>
      <c r="J369" t="b">
        <f>IF(OR(INDEX(OHZ_HAZ_TOTAMOUNT,112,1)&lt;&gt;"",),IF(OR(INDEX(OHZ_HAZ_TOTNETGROSS,112,1)="",INDEX(OHZ_HAZ_TOTUNIT,112,1)="",),FALSE,TRUE),TRUE)</f>
        <v>1</v>
      </c>
      <c r="K369" t="str">
        <f t="shared" si="11"/>
        <v xml:space="preserve">Row 112 - If ‘Total amount’ is given, then ‘Net / Gross’ and ‘Total amount unit’ are required </v>
      </c>
      <c r="L369" t="s">
        <v>1391</v>
      </c>
    </row>
    <row r="370" spans="6:12" x14ac:dyDescent="0.25">
      <c r="F370" t="s">
        <v>1391</v>
      </c>
      <c r="G370" t="b">
        <f>IF(OR(INDEX(IHZ_HAZ_TOTAMOUNT,113,1)&lt;&gt;"",),IF(OR(INDEX(IHZ_HAZ_TOTNETGROSS,113,1)="",INDEX(IHZ_HAZ_TOTUNIT,113,1)="",),FALSE,TRUE),TRUE)</f>
        <v>1</v>
      </c>
      <c r="H370" t="str">
        <f t="shared" si="10"/>
        <v xml:space="preserve">Row 113 - If ‘Total amount’ is given, then ‘Net / Gross’ and ‘Total amount unit’ are required </v>
      </c>
      <c r="I370" t="s">
        <v>1391</v>
      </c>
      <c r="J370" t="b">
        <f>IF(OR(INDEX(OHZ_HAZ_TOTAMOUNT,113,1)&lt;&gt;"",),IF(OR(INDEX(OHZ_HAZ_TOTNETGROSS,113,1)="",INDEX(OHZ_HAZ_TOTUNIT,113,1)="",),FALSE,TRUE),TRUE)</f>
        <v>1</v>
      </c>
      <c r="K370" t="str">
        <f t="shared" si="11"/>
        <v xml:space="preserve">Row 113 - If ‘Total amount’ is given, then ‘Net / Gross’ and ‘Total amount unit’ are required </v>
      </c>
      <c r="L370" t="s">
        <v>1391</v>
      </c>
    </row>
    <row r="371" spans="6:12" x14ac:dyDescent="0.25">
      <c r="F371" t="s">
        <v>1391</v>
      </c>
      <c r="G371" t="b">
        <f>IF(OR(INDEX(IHZ_HAZ_TOTAMOUNT,114,1)&lt;&gt;"",),IF(OR(INDEX(IHZ_HAZ_TOTNETGROSS,114,1)="",INDEX(IHZ_HAZ_TOTUNIT,114,1)="",),FALSE,TRUE),TRUE)</f>
        <v>1</v>
      </c>
      <c r="H371" t="str">
        <f t="shared" si="10"/>
        <v xml:space="preserve">Row 114 - If ‘Total amount’ is given, then ‘Net / Gross’ and ‘Total amount unit’ are required </v>
      </c>
      <c r="I371" t="s">
        <v>1391</v>
      </c>
      <c r="J371" t="b">
        <f>IF(OR(INDEX(OHZ_HAZ_TOTAMOUNT,114,1)&lt;&gt;"",),IF(OR(INDEX(OHZ_HAZ_TOTNETGROSS,114,1)="",INDEX(OHZ_HAZ_TOTUNIT,114,1)="",),FALSE,TRUE),TRUE)</f>
        <v>1</v>
      </c>
      <c r="K371" t="str">
        <f t="shared" si="11"/>
        <v xml:space="preserve">Row 114 - If ‘Total amount’ is given, then ‘Net / Gross’ and ‘Total amount unit’ are required </v>
      </c>
      <c r="L371" t="s">
        <v>1391</v>
      </c>
    </row>
    <row r="372" spans="6:12" x14ac:dyDescent="0.25">
      <c r="F372" t="s">
        <v>1391</v>
      </c>
      <c r="G372" t="b">
        <f>IF(OR(INDEX(IHZ_HAZ_TOTAMOUNT,115,1)&lt;&gt;"",),IF(OR(INDEX(IHZ_HAZ_TOTNETGROSS,115,1)="",INDEX(IHZ_HAZ_TOTUNIT,115,1)="",),FALSE,TRUE),TRUE)</f>
        <v>1</v>
      </c>
      <c r="H372" t="str">
        <f t="shared" si="10"/>
        <v xml:space="preserve">Row 115 - If ‘Total amount’ is given, then ‘Net / Gross’ and ‘Total amount unit’ are required </v>
      </c>
      <c r="I372" t="s">
        <v>1391</v>
      </c>
      <c r="J372" t="b">
        <f>IF(OR(INDEX(OHZ_HAZ_TOTAMOUNT,115,1)&lt;&gt;"",),IF(OR(INDEX(OHZ_HAZ_TOTNETGROSS,115,1)="",INDEX(OHZ_HAZ_TOTUNIT,115,1)="",),FALSE,TRUE),TRUE)</f>
        <v>1</v>
      </c>
      <c r="K372" t="str">
        <f t="shared" si="11"/>
        <v xml:space="preserve">Row 115 - If ‘Total amount’ is given, then ‘Net / Gross’ and ‘Total amount unit’ are required </v>
      </c>
      <c r="L372" t="s">
        <v>1391</v>
      </c>
    </row>
    <row r="373" spans="6:12" x14ac:dyDescent="0.25">
      <c r="F373" t="s">
        <v>1391</v>
      </c>
      <c r="G373" t="b">
        <f>IF(OR(INDEX(IHZ_HAZ_TOTAMOUNT,116,1)&lt;&gt;"",),IF(OR(INDEX(IHZ_HAZ_TOTNETGROSS,116,1)="",INDEX(IHZ_HAZ_TOTUNIT,116,1)="",),FALSE,TRUE),TRUE)</f>
        <v>1</v>
      </c>
      <c r="H373" t="str">
        <f t="shared" si="10"/>
        <v xml:space="preserve">Row 116 - If ‘Total amount’ is given, then ‘Net / Gross’ and ‘Total amount unit’ are required </v>
      </c>
      <c r="I373" t="s">
        <v>1391</v>
      </c>
      <c r="J373" t="b">
        <f>IF(OR(INDEX(OHZ_HAZ_TOTAMOUNT,116,1)&lt;&gt;"",),IF(OR(INDEX(OHZ_HAZ_TOTNETGROSS,116,1)="",INDEX(OHZ_HAZ_TOTUNIT,116,1)="",),FALSE,TRUE),TRUE)</f>
        <v>1</v>
      </c>
      <c r="K373" t="str">
        <f t="shared" si="11"/>
        <v xml:space="preserve">Row 116 - If ‘Total amount’ is given, then ‘Net / Gross’ and ‘Total amount unit’ are required </v>
      </c>
      <c r="L373" t="s">
        <v>1391</v>
      </c>
    </row>
    <row r="374" spans="6:12" x14ac:dyDescent="0.25">
      <c r="F374" t="s">
        <v>1391</v>
      </c>
      <c r="G374" t="b">
        <f>IF(OR(INDEX(IHZ_HAZ_TOTAMOUNT,117,1)&lt;&gt;"",),IF(OR(INDEX(IHZ_HAZ_TOTNETGROSS,117,1)="",INDEX(IHZ_HAZ_TOTUNIT,117,1)="",),FALSE,TRUE),TRUE)</f>
        <v>1</v>
      </c>
      <c r="H374" t="str">
        <f t="shared" si="10"/>
        <v xml:space="preserve">Row 117 - If ‘Total amount’ is given, then ‘Net / Gross’ and ‘Total amount unit’ are required </v>
      </c>
      <c r="I374" t="s">
        <v>1391</v>
      </c>
      <c r="J374" t="b">
        <f>IF(OR(INDEX(OHZ_HAZ_TOTAMOUNT,117,1)&lt;&gt;"",),IF(OR(INDEX(OHZ_HAZ_TOTNETGROSS,117,1)="",INDEX(OHZ_HAZ_TOTUNIT,117,1)="",),FALSE,TRUE),TRUE)</f>
        <v>1</v>
      </c>
      <c r="K374" t="str">
        <f t="shared" si="11"/>
        <v xml:space="preserve">Row 117 - If ‘Total amount’ is given, then ‘Net / Gross’ and ‘Total amount unit’ are required </v>
      </c>
      <c r="L374" t="s">
        <v>1391</v>
      </c>
    </row>
    <row r="375" spans="6:12" x14ac:dyDescent="0.25">
      <c r="F375" t="s">
        <v>1391</v>
      </c>
      <c r="G375" t="b">
        <f>IF(OR(INDEX(IHZ_HAZ_TOTAMOUNT,118,1)&lt;&gt;"",),IF(OR(INDEX(IHZ_HAZ_TOTNETGROSS,118,1)="",INDEX(IHZ_HAZ_TOTUNIT,118,1)="",),FALSE,TRUE),TRUE)</f>
        <v>1</v>
      </c>
      <c r="H375" t="str">
        <f t="shared" si="10"/>
        <v xml:space="preserve">Row 118 - If ‘Total amount’ is given, then ‘Net / Gross’ and ‘Total amount unit’ are required </v>
      </c>
      <c r="I375" t="s">
        <v>1391</v>
      </c>
      <c r="J375" t="b">
        <f>IF(OR(INDEX(OHZ_HAZ_TOTAMOUNT,118,1)&lt;&gt;"",),IF(OR(INDEX(OHZ_HAZ_TOTNETGROSS,118,1)="",INDEX(OHZ_HAZ_TOTUNIT,118,1)="",),FALSE,TRUE),TRUE)</f>
        <v>1</v>
      </c>
      <c r="K375" t="str">
        <f t="shared" si="11"/>
        <v xml:space="preserve">Row 118 - If ‘Total amount’ is given, then ‘Net / Gross’ and ‘Total amount unit’ are required </v>
      </c>
      <c r="L375" t="s">
        <v>1391</v>
      </c>
    </row>
    <row r="376" spans="6:12" x14ac:dyDescent="0.25">
      <c r="F376" t="s">
        <v>1391</v>
      </c>
      <c r="G376" t="b">
        <f>IF(OR(INDEX(IHZ_HAZ_TOTAMOUNT,119,1)&lt;&gt;"",),IF(OR(INDEX(IHZ_HAZ_TOTNETGROSS,119,1)="",INDEX(IHZ_HAZ_TOTUNIT,119,1)="",),FALSE,TRUE),TRUE)</f>
        <v>1</v>
      </c>
      <c r="H376" t="str">
        <f t="shared" si="10"/>
        <v xml:space="preserve">Row 119 - If ‘Total amount’ is given, then ‘Net / Gross’ and ‘Total amount unit’ are required </v>
      </c>
      <c r="I376" t="s">
        <v>1391</v>
      </c>
      <c r="J376" t="b">
        <f>IF(OR(INDEX(OHZ_HAZ_TOTAMOUNT,119,1)&lt;&gt;"",),IF(OR(INDEX(OHZ_HAZ_TOTNETGROSS,119,1)="",INDEX(OHZ_HAZ_TOTUNIT,119,1)="",),FALSE,TRUE),TRUE)</f>
        <v>1</v>
      </c>
      <c r="K376" t="str">
        <f t="shared" si="11"/>
        <v xml:space="preserve">Row 119 - If ‘Total amount’ is given, then ‘Net / Gross’ and ‘Total amount unit’ are required </v>
      </c>
      <c r="L376" t="s">
        <v>1391</v>
      </c>
    </row>
    <row r="377" spans="6:12" x14ac:dyDescent="0.25">
      <c r="F377" t="s">
        <v>1391</v>
      </c>
      <c r="G377" t="b">
        <f>IF(OR(INDEX(IHZ_HAZ_TOTAMOUNT,120,1)&lt;&gt;"",),IF(OR(INDEX(IHZ_HAZ_TOTNETGROSS,120,1)="",INDEX(IHZ_HAZ_TOTUNIT,120,1)="",),FALSE,TRUE),TRUE)</f>
        <v>1</v>
      </c>
      <c r="H377" t="str">
        <f t="shared" si="10"/>
        <v xml:space="preserve">Row 120 - If ‘Total amount’ is given, then ‘Net / Gross’ and ‘Total amount unit’ are required </v>
      </c>
      <c r="I377" t="s">
        <v>1391</v>
      </c>
      <c r="J377" t="b">
        <f>IF(OR(INDEX(OHZ_HAZ_TOTAMOUNT,120,1)&lt;&gt;"",),IF(OR(INDEX(OHZ_HAZ_TOTNETGROSS,120,1)="",INDEX(OHZ_HAZ_TOTUNIT,120,1)="",),FALSE,TRUE),TRUE)</f>
        <v>1</v>
      </c>
      <c r="K377" t="str">
        <f t="shared" si="11"/>
        <v xml:space="preserve">Row 120 - If ‘Total amount’ is given, then ‘Net / Gross’ and ‘Total amount unit’ are required </v>
      </c>
      <c r="L377" t="s">
        <v>1391</v>
      </c>
    </row>
    <row r="378" spans="6:12" x14ac:dyDescent="0.25">
      <c r="F378" t="s">
        <v>1391</v>
      </c>
      <c r="G378" t="b">
        <f>IF(OR(INDEX(IHZ_HAZ_TOTAMOUNT,121,1)&lt;&gt;"",),IF(OR(INDEX(IHZ_HAZ_TOTNETGROSS,121,1)="",INDEX(IHZ_HAZ_TOTUNIT,121,1)="",),FALSE,TRUE),TRUE)</f>
        <v>1</v>
      </c>
      <c r="H378" t="str">
        <f t="shared" si="10"/>
        <v xml:space="preserve">Row 121 - If ‘Total amount’ is given, then ‘Net / Gross’ and ‘Total amount unit’ are required </v>
      </c>
      <c r="I378" t="s">
        <v>1391</v>
      </c>
      <c r="J378" t="b">
        <f>IF(OR(INDEX(OHZ_HAZ_TOTAMOUNT,121,1)&lt;&gt;"",),IF(OR(INDEX(OHZ_HAZ_TOTNETGROSS,121,1)="",INDEX(OHZ_HAZ_TOTUNIT,121,1)="",),FALSE,TRUE),TRUE)</f>
        <v>1</v>
      </c>
      <c r="K378" t="str">
        <f t="shared" si="11"/>
        <v xml:space="preserve">Row 121 - If ‘Total amount’ is given, then ‘Net / Gross’ and ‘Total amount unit’ are required </v>
      </c>
      <c r="L378" t="s">
        <v>1391</v>
      </c>
    </row>
    <row r="379" spans="6:12" x14ac:dyDescent="0.25">
      <c r="F379" t="s">
        <v>1391</v>
      </c>
      <c r="G379" t="b">
        <f>IF(OR(INDEX(IHZ_HAZ_TOTAMOUNT,122,1)&lt;&gt;"",),IF(OR(INDEX(IHZ_HAZ_TOTNETGROSS,122,1)="",INDEX(IHZ_HAZ_TOTUNIT,122,1)="",),FALSE,TRUE),TRUE)</f>
        <v>1</v>
      </c>
      <c r="H379" t="str">
        <f t="shared" si="10"/>
        <v xml:space="preserve">Row 122 - If ‘Total amount’ is given, then ‘Net / Gross’ and ‘Total amount unit’ are required </v>
      </c>
      <c r="I379" t="s">
        <v>1391</v>
      </c>
      <c r="J379" t="b">
        <f>IF(OR(INDEX(OHZ_HAZ_TOTAMOUNT,122,1)&lt;&gt;"",),IF(OR(INDEX(OHZ_HAZ_TOTNETGROSS,122,1)="",INDEX(OHZ_HAZ_TOTUNIT,122,1)="",),FALSE,TRUE),TRUE)</f>
        <v>1</v>
      </c>
      <c r="K379" t="str">
        <f t="shared" si="11"/>
        <v xml:space="preserve">Row 122 - If ‘Total amount’ is given, then ‘Net / Gross’ and ‘Total amount unit’ are required </v>
      </c>
      <c r="L379" t="s">
        <v>1391</v>
      </c>
    </row>
    <row r="380" spans="6:12" x14ac:dyDescent="0.25">
      <c r="F380" t="s">
        <v>1391</v>
      </c>
      <c r="G380" t="b">
        <f>IF(OR(INDEX(IHZ_HAZ_TOTAMOUNT,123,1)&lt;&gt;"",),IF(OR(INDEX(IHZ_HAZ_TOTNETGROSS,123,1)="",INDEX(IHZ_HAZ_TOTUNIT,123,1)="",),FALSE,TRUE),TRUE)</f>
        <v>1</v>
      </c>
      <c r="H380" t="str">
        <f t="shared" si="10"/>
        <v xml:space="preserve">Row 123 - If ‘Total amount’ is given, then ‘Net / Gross’ and ‘Total amount unit’ are required </v>
      </c>
      <c r="I380" t="s">
        <v>1391</v>
      </c>
      <c r="J380" t="b">
        <f>IF(OR(INDEX(OHZ_HAZ_TOTAMOUNT,123,1)&lt;&gt;"",),IF(OR(INDEX(OHZ_HAZ_TOTNETGROSS,123,1)="",INDEX(OHZ_HAZ_TOTUNIT,123,1)="",),FALSE,TRUE),TRUE)</f>
        <v>1</v>
      </c>
      <c r="K380" t="str">
        <f t="shared" si="11"/>
        <v xml:space="preserve">Row 123 - If ‘Total amount’ is given, then ‘Net / Gross’ and ‘Total amount unit’ are required </v>
      </c>
      <c r="L380" t="s">
        <v>1391</v>
      </c>
    </row>
    <row r="381" spans="6:12" x14ac:dyDescent="0.25">
      <c r="F381" t="s">
        <v>1391</v>
      </c>
      <c r="G381" t="b">
        <f>IF(OR(INDEX(IHZ_HAZ_TOTAMOUNT,124,1)&lt;&gt;"",),IF(OR(INDEX(IHZ_HAZ_TOTNETGROSS,124,1)="",INDEX(IHZ_HAZ_TOTUNIT,124,1)="",),FALSE,TRUE),TRUE)</f>
        <v>1</v>
      </c>
      <c r="H381" t="str">
        <f t="shared" si="10"/>
        <v xml:space="preserve">Row 124 - If ‘Total amount’ is given, then ‘Net / Gross’ and ‘Total amount unit’ are required </v>
      </c>
      <c r="I381" t="s">
        <v>1391</v>
      </c>
      <c r="J381" t="b">
        <f>IF(OR(INDEX(OHZ_HAZ_TOTAMOUNT,124,1)&lt;&gt;"",),IF(OR(INDEX(OHZ_HAZ_TOTNETGROSS,124,1)="",INDEX(OHZ_HAZ_TOTUNIT,124,1)="",),FALSE,TRUE),TRUE)</f>
        <v>1</v>
      </c>
      <c r="K381" t="str">
        <f t="shared" si="11"/>
        <v xml:space="preserve">Row 124 - If ‘Total amount’ is given, then ‘Net / Gross’ and ‘Total amount unit’ are required </v>
      </c>
      <c r="L381" t="s">
        <v>1391</v>
      </c>
    </row>
    <row r="382" spans="6:12" x14ac:dyDescent="0.25">
      <c r="F382" t="s">
        <v>1391</v>
      </c>
      <c r="G382" t="b">
        <f>IF(OR(INDEX(IHZ_HAZ_TOTAMOUNT,125,1)&lt;&gt;"",),IF(OR(INDEX(IHZ_HAZ_TOTNETGROSS,125,1)="",INDEX(IHZ_HAZ_TOTUNIT,125,1)="",),FALSE,TRUE),TRUE)</f>
        <v>1</v>
      </c>
      <c r="H382" t="str">
        <f t="shared" si="10"/>
        <v xml:space="preserve">Row 125 - If ‘Total amount’ is given, then ‘Net / Gross’ and ‘Total amount unit’ are required </v>
      </c>
      <c r="I382" t="s">
        <v>1391</v>
      </c>
      <c r="J382" t="b">
        <f>IF(OR(INDEX(OHZ_HAZ_TOTAMOUNT,125,1)&lt;&gt;"",),IF(OR(INDEX(OHZ_HAZ_TOTNETGROSS,125,1)="",INDEX(OHZ_HAZ_TOTUNIT,125,1)="",),FALSE,TRUE),TRUE)</f>
        <v>1</v>
      </c>
      <c r="K382" t="str">
        <f t="shared" si="11"/>
        <v xml:space="preserve">Row 125 - If ‘Total amount’ is given, then ‘Net / Gross’ and ‘Total amount unit’ are required </v>
      </c>
      <c r="L382" t="s">
        <v>1391</v>
      </c>
    </row>
    <row r="383" spans="6:12" x14ac:dyDescent="0.25">
      <c r="F383" t="s">
        <v>1391</v>
      </c>
      <c r="G383" t="b">
        <f>IF(OR(INDEX(IHZ_HAZ_TOTAMOUNT,126,1)&lt;&gt;"",),IF(OR(INDEX(IHZ_HAZ_TOTNETGROSS,126,1)="",INDEX(IHZ_HAZ_TOTUNIT,126,1)="",),FALSE,TRUE),TRUE)</f>
        <v>1</v>
      </c>
      <c r="H383" t="str">
        <f t="shared" si="10"/>
        <v xml:space="preserve">Row 126 - If ‘Total amount’ is given, then ‘Net / Gross’ and ‘Total amount unit’ are required </v>
      </c>
      <c r="I383" t="s">
        <v>1391</v>
      </c>
      <c r="J383" t="b">
        <f>IF(OR(INDEX(OHZ_HAZ_TOTAMOUNT,126,1)&lt;&gt;"",),IF(OR(INDEX(OHZ_HAZ_TOTNETGROSS,126,1)="",INDEX(OHZ_HAZ_TOTUNIT,126,1)="",),FALSE,TRUE),TRUE)</f>
        <v>1</v>
      </c>
      <c r="K383" t="str">
        <f t="shared" si="11"/>
        <v xml:space="preserve">Row 126 - If ‘Total amount’ is given, then ‘Net / Gross’ and ‘Total amount unit’ are required </v>
      </c>
      <c r="L383" t="s">
        <v>1391</v>
      </c>
    </row>
    <row r="384" spans="6:12" x14ac:dyDescent="0.25">
      <c r="F384" t="s">
        <v>1391</v>
      </c>
      <c r="G384" t="b">
        <f>IF(OR(INDEX(IHZ_HAZ_TOTAMOUNT,127,1)&lt;&gt;"",),IF(OR(INDEX(IHZ_HAZ_TOTNETGROSS,127,1)="",INDEX(IHZ_HAZ_TOTUNIT,127,1)="",),FALSE,TRUE),TRUE)</f>
        <v>1</v>
      </c>
      <c r="H384" t="str">
        <f t="shared" si="10"/>
        <v xml:space="preserve">Row 127 - If ‘Total amount’ is given, then ‘Net / Gross’ and ‘Total amount unit’ are required </v>
      </c>
      <c r="I384" t="s">
        <v>1391</v>
      </c>
      <c r="J384" t="b">
        <f>IF(OR(INDEX(OHZ_HAZ_TOTAMOUNT,127,1)&lt;&gt;"",),IF(OR(INDEX(OHZ_HAZ_TOTNETGROSS,127,1)="",INDEX(OHZ_HAZ_TOTUNIT,127,1)="",),FALSE,TRUE),TRUE)</f>
        <v>1</v>
      </c>
      <c r="K384" t="str">
        <f t="shared" si="11"/>
        <v xml:space="preserve">Row 127 - If ‘Total amount’ is given, then ‘Net / Gross’ and ‘Total amount unit’ are required </v>
      </c>
      <c r="L384" t="s">
        <v>1391</v>
      </c>
    </row>
    <row r="385" spans="6:12" x14ac:dyDescent="0.25">
      <c r="F385" t="s">
        <v>1391</v>
      </c>
      <c r="G385" t="b">
        <f>IF(OR(INDEX(IHZ_HAZ_TOTAMOUNT,128,1)&lt;&gt;"",),IF(OR(INDEX(IHZ_HAZ_TOTNETGROSS,128,1)="",INDEX(IHZ_HAZ_TOTUNIT,128,1)="",),FALSE,TRUE),TRUE)</f>
        <v>1</v>
      </c>
      <c r="H385" t="str">
        <f t="shared" si="10"/>
        <v xml:space="preserve">Row 128 - If ‘Total amount’ is given, then ‘Net / Gross’ and ‘Total amount unit’ are required </v>
      </c>
      <c r="I385" t="s">
        <v>1391</v>
      </c>
      <c r="J385" t="b">
        <f>IF(OR(INDEX(OHZ_HAZ_TOTAMOUNT,128,1)&lt;&gt;"",),IF(OR(INDEX(OHZ_HAZ_TOTNETGROSS,128,1)="",INDEX(OHZ_HAZ_TOTUNIT,128,1)="",),FALSE,TRUE),TRUE)</f>
        <v>1</v>
      </c>
      <c r="K385" t="str">
        <f t="shared" si="11"/>
        <v xml:space="preserve">Row 128 - If ‘Total amount’ is given, then ‘Net / Gross’ and ‘Total amount unit’ are required </v>
      </c>
      <c r="L385" t="s">
        <v>1391</v>
      </c>
    </row>
    <row r="386" spans="6:12" x14ac:dyDescent="0.25">
      <c r="F386" t="s">
        <v>1391</v>
      </c>
      <c r="G386" t="b">
        <f>IF(OR(INDEX(IHZ_HAZ_TOTAMOUNT,129,1)&lt;&gt;"",),IF(OR(INDEX(IHZ_HAZ_TOTNETGROSS,129,1)="",INDEX(IHZ_HAZ_TOTUNIT,129,1)="",),FALSE,TRUE),TRUE)</f>
        <v>1</v>
      </c>
      <c r="H386" t="str">
        <f t="shared" si="10"/>
        <v xml:space="preserve">Row 129 - If ‘Total amount’ is given, then ‘Net / Gross’ and ‘Total amount unit’ are required </v>
      </c>
      <c r="I386" t="s">
        <v>1391</v>
      </c>
      <c r="J386" t="b">
        <f>IF(OR(INDEX(OHZ_HAZ_TOTAMOUNT,129,1)&lt;&gt;"",),IF(OR(INDEX(OHZ_HAZ_TOTNETGROSS,129,1)="",INDEX(OHZ_HAZ_TOTUNIT,129,1)="",),FALSE,TRUE),TRUE)</f>
        <v>1</v>
      </c>
      <c r="K386" t="str">
        <f t="shared" si="11"/>
        <v xml:space="preserve">Row 129 - If ‘Total amount’ is given, then ‘Net / Gross’ and ‘Total amount unit’ are required </v>
      </c>
      <c r="L386" t="s">
        <v>1391</v>
      </c>
    </row>
    <row r="387" spans="6:12" x14ac:dyDescent="0.25">
      <c r="F387" t="s">
        <v>1391</v>
      </c>
      <c r="G387" t="b">
        <f>IF(OR(INDEX(IHZ_HAZ_TOTAMOUNT,130,1)&lt;&gt;"",),IF(OR(INDEX(IHZ_HAZ_TOTNETGROSS,130,1)="",INDEX(IHZ_HAZ_TOTUNIT,130,1)="",),FALSE,TRUE),TRUE)</f>
        <v>1</v>
      </c>
      <c r="H387" t="str">
        <f t="shared" ref="H387:H450" si="12">T130&amp;$V$2</f>
        <v xml:space="preserve">Row 130 - If ‘Total amount’ is given, then ‘Net / Gross’ and ‘Total amount unit’ are required </v>
      </c>
      <c r="I387" t="s">
        <v>1391</v>
      </c>
      <c r="J387" t="b">
        <f>IF(OR(INDEX(OHZ_HAZ_TOTAMOUNT,130,1)&lt;&gt;"",),IF(OR(INDEX(OHZ_HAZ_TOTNETGROSS,130,1)="",INDEX(OHZ_HAZ_TOTUNIT,130,1)="",),FALSE,TRUE),TRUE)</f>
        <v>1</v>
      </c>
      <c r="K387" t="str">
        <f t="shared" ref="K387:K450" si="13">T130&amp;$V$2</f>
        <v xml:space="preserve">Row 130 - If ‘Total amount’ is given, then ‘Net / Gross’ and ‘Total amount unit’ are required </v>
      </c>
      <c r="L387" t="s">
        <v>1391</v>
      </c>
    </row>
    <row r="388" spans="6:12" x14ac:dyDescent="0.25">
      <c r="F388" t="s">
        <v>1391</v>
      </c>
      <c r="G388" t="b">
        <f>IF(OR(INDEX(IHZ_HAZ_TOTAMOUNT,131,1)&lt;&gt;"",),IF(OR(INDEX(IHZ_HAZ_TOTNETGROSS,131,1)="",INDEX(IHZ_HAZ_TOTUNIT,131,1)="",),FALSE,TRUE),TRUE)</f>
        <v>1</v>
      </c>
      <c r="H388" t="str">
        <f t="shared" si="12"/>
        <v xml:space="preserve">Row 131 - If ‘Total amount’ is given, then ‘Net / Gross’ and ‘Total amount unit’ are required </v>
      </c>
      <c r="I388" t="s">
        <v>1391</v>
      </c>
      <c r="J388" t="b">
        <f>IF(OR(INDEX(OHZ_HAZ_TOTAMOUNT,131,1)&lt;&gt;"",),IF(OR(INDEX(OHZ_HAZ_TOTNETGROSS,131,1)="",INDEX(OHZ_HAZ_TOTUNIT,131,1)="",),FALSE,TRUE),TRUE)</f>
        <v>1</v>
      </c>
      <c r="K388" t="str">
        <f t="shared" si="13"/>
        <v xml:space="preserve">Row 131 - If ‘Total amount’ is given, then ‘Net / Gross’ and ‘Total amount unit’ are required </v>
      </c>
      <c r="L388" t="s">
        <v>1391</v>
      </c>
    </row>
    <row r="389" spans="6:12" x14ac:dyDescent="0.25">
      <c r="F389" t="s">
        <v>1391</v>
      </c>
      <c r="G389" t="b">
        <f>IF(OR(INDEX(IHZ_HAZ_TOTAMOUNT,132,1)&lt;&gt;"",),IF(OR(INDEX(IHZ_HAZ_TOTNETGROSS,132,1)="",INDEX(IHZ_HAZ_TOTUNIT,132,1)="",),FALSE,TRUE),TRUE)</f>
        <v>1</v>
      </c>
      <c r="H389" t="str">
        <f t="shared" si="12"/>
        <v xml:space="preserve">Row 132 - If ‘Total amount’ is given, then ‘Net / Gross’ and ‘Total amount unit’ are required </v>
      </c>
      <c r="I389" t="s">
        <v>1391</v>
      </c>
      <c r="J389" t="b">
        <f>IF(OR(INDEX(OHZ_HAZ_TOTAMOUNT,132,1)&lt;&gt;"",),IF(OR(INDEX(OHZ_HAZ_TOTNETGROSS,132,1)="",INDEX(OHZ_HAZ_TOTUNIT,132,1)="",),FALSE,TRUE),TRUE)</f>
        <v>1</v>
      </c>
      <c r="K389" t="str">
        <f t="shared" si="13"/>
        <v xml:space="preserve">Row 132 - If ‘Total amount’ is given, then ‘Net / Gross’ and ‘Total amount unit’ are required </v>
      </c>
      <c r="L389" t="s">
        <v>1391</v>
      </c>
    </row>
    <row r="390" spans="6:12" x14ac:dyDescent="0.25">
      <c r="F390" t="s">
        <v>1391</v>
      </c>
      <c r="G390" t="b">
        <f>IF(OR(INDEX(IHZ_HAZ_TOTAMOUNT,133,1)&lt;&gt;"",),IF(OR(INDEX(IHZ_HAZ_TOTNETGROSS,133,1)="",INDEX(IHZ_HAZ_TOTUNIT,133,1)="",),FALSE,TRUE),TRUE)</f>
        <v>1</v>
      </c>
      <c r="H390" t="str">
        <f t="shared" si="12"/>
        <v xml:space="preserve">Row 133 - If ‘Total amount’ is given, then ‘Net / Gross’ and ‘Total amount unit’ are required </v>
      </c>
      <c r="I390" t="s">
        <v>1391</v>
      </c>
      <c r="J390" t="b">
        <f>IF(OR(INDEX(OHZ_HAZ_TOTAMOUNT,133,1)&lt;&gt;"",),IF(OR(INDEX(OHZ_HAZ_TOTNETGROSS,133,1)="",INDEX(OHZ_HAZ_TOTUNIT,133,1)="",),FALSE,TRUE),TRUE)</f>
        <v>1</v>
      </c>
      <c r="K390" t="str">
        <f t="shared" si="13"/>
        <v xml:space="preserve">Row 133 - If ‘Total amount’ is given, then ‘Net / Gross’ and ‘Total amount unit’ are required </v>
      </c>
      <c r="L390" t="s">
        <v>1391</v>
      </c>
    </row>
    <row r="391" spans="6:12" x14ac:dyDescent="0.25">
      <c r="F391" t="s">
        <v>1391</v>
      </c>
      <c r="G391" t="b">
        <f>IF(OR(INDEX(IHZ_HAZ_TOTAMOUNT,134,1)&lt;&gt;"",),IF(OR(INDEX(IHZ_HAZ_TOTNETGROSS,134,1)="",INDEX(IHZ_HAZ_TOTUNIT,134,1)="",),FALSE,TRUE),TRUE)</f>
        <v>1</v>
      </c>
      <c r="H391" t="str">
        <f t="shared" si="12"/>
        <v xml:space="preserve">Row 134 - If ‘Total amount’ is given, then ‘Net / Gross’ and ‘Total amount unit’ are required </v>
      </c>
      <c r="I391" t="s">
        <v>1391</v>
      </c>
      <c r="J391" t="b">
        <f>IF(OR(INDEX(OHZ_HAZ_TOTAMOUNT,134,1)&lt;&gt;"",),IF(OR(INDEX(OHZ_HAZ_TOTNETGROSS,134,1)="",INDEX(OHZ_HAZ_TOTUNIT,134,1)="",),FALSE,TRUE),TRUE)</f>
        <v>1</v>
      </c>
      <c r="K391" t="str">
        <f t="shared" si="13"/>
        <v xml:space="preserve">Row 134 - If ‘Total amount’ is given, then ‘Net / Gross’ and ‘Total amount unit’ are required </v>
      </c>
      <c r="L391" t="s">
        <v>1391</v>
      </c>
    </row>
    <row r="392" spans="6:12" x14ac:dyDescent="0.25">
      <c r="F392" t="s">
        <v>1391</v>
      </c>
      <c r="G392" t="b">
        <f>IF(OR(INDEX(IHZ_HAZ_TOTAMOUNT,135,1)&lt;&gt;"",),IF(OR(INDEX(IHZ_HAZ_TOTNETGROSS,135,1)="",INDEX(IHZ_HAZ_TOTUNIT,135,1)="",),FALSE,TRUE),TRUE)</f>
        <v>1</v>
      </c>
      <c r="H392" t="str">
        <f t="shared" si="12"/>
        <v xml:space="preserve">Row 135 - If ‘Total amount’ is given, then ‘Net / Gross’ and ‘Total amount unit’ are required </v>
      </c>
      <c r="I392" t="s">
        <v>1391</v>
      </c>
      <c r="J392" t="b">
        <f>IF(OR(INDEX(OHZ_HAZ_TOTAMOUNT,135,1)&lt;&gt;"",),IF(OR(INDEX(OHZ_HAZ_TOTNETGROSS,135,1)="",INDEX(OHZ_HAZ_TOTUNIT,135,1)="",),FALSE,TRUE),TRUE)</f>
        <v>1</v>
      </c>
      <c r="K392" t="str">
        <f t="shared" si="13"/>
        <v xml:space="preserve">Row 135 - If ‘Total amount’ is given, then ‘Net / Gross’ and ‘Total amount unit’ are required </v>
      </c>
      <c r="L392" t="s">
        <v>1391</v>
      </c>
    </row>
    <row r="393" spans="6:12" x14ac:dyDescent="0.25">
      <c r="F393" t="s">
        <v>1391</v>
      </c>
      <c r="G393" t="b">
        <f>IF(OR(INDEX(IHZ_HAZ_TOTAMOUNT,136,1)&lt;&gt;"",),IF(OR(INDEX(IHZ_HAZ_TOTNETGROSS,136,1)="",INDEX(IHZ_HAZ_TOTUNIT,136,1)="",),FALSE,TRUE),TRUE)</f>
        <v>1</v>
      </c>
      <c r="H393" t="str">
        <f t="shared" si="12"/>
        <v xml:space="preserve">Row 136 - If ‘Total amount’ is given, then ‘Net / Gross’ and ‘Total amount unit’ are required </v>
      </c>
      <c r="I393" t="s">
        <v>1391</v>
      </c>
      <c r="J393" t="b">
        <f>IF(OR(INDEX(OHZ_HAZ_TOTAMOUNT,136,1)&lt;&gt;"",),IF(OR(INDEX(OHZ_HAZ_TOTNETGROSS,136,1)="",INDEX(OHZ_HAZ_TOTUNIT,136,1)="",),FALSE,TRUE),TRUE)</f>
        <v>1</v>
      </c>
      <c r="K393" t="str">
        <f t="shared" si="13"/>
        <v xml:space="preserve">Row 136 - If ‘Total amount’ is given, then ‘Net / Gross’ and ‘Total amount unit’ are required </v>
      </c>
      <c r="L393" t="s">
        <v>1391</v>
      </c>
    </row>
    <row r="394" spans="6:12" x14ac:dyDescent="0.25">
      <c r="F394" t="s">
        <v>1391</v>
      </c>
      <c r="G394" t="b">
        <f>IF(OR(INDEX(IHZ_HAZ_TOTAMOUNT,137,1)&lt;&gt;"",),IF(OR(INDEX(IHZ_HAZ_TOTNETGROSS,137,1)="",INDEX(IHZ_HAZ_TOTUNIT,137,1)="",),FALSE,TRUE),TRUE)</f>
        <v>1</v>
      </c>
      <c r="H394" t="str">
        <f t="shared" si="12"/>
        <v xml:space="preserve">Row 137 - If ‘Total amount’ is given, then ‘Net / Gross’ and ‘Total amount unit’ are required </v>
      </c>
      <c r="I394" t="s">
        <v>1391</v>
      </c>
      <c r="J394" t="b">
        <f>IF(OR(INDEX(OHZ_HAZ_TOTAMOUNT,137,1)&lt;&gt;"",),IF(OR(INDEX(OHZ_HAZ_TOTNETGROSS,137,1)="",INDEX(OHZ_HAZ_TOTUNIT,137,1)="",),FALSE,TRUE),TRUE)</f>
        <v>1</v>
      </c>
      <c r="K394" t="str">
        <f t="shared" si="13"/>
        <v xml:space="preserve">Row 137 - If ‘Total amount’ is given, then ‘Net / Gross’ and ‘Total amount unit’ are required </v>
      </c>
      <c r="L394" t="s">
        <v>1391</v>
      </c>
    </row>
    <row r="395" spans="6:12" x14ac:dyDescent="0.25">
      <c r="F395" t="s">
        <v>1391</v>
      </c>
      <c r="G395" t="b">
        <f>IF(OR(INDEX(IHZ_HAZ_TOTAMOUNT,138,1)&lt;&gt;"",),IF(OR(INDEX(IHZ_HAZ_TOTNETGROSS,138,1)="",INDEX(IHZ_HAZ_TOTUNIT,138,1)="",),FALSE,TRUE),TRUE)</f>
        <v>1</v>
      </c>
      <c r="H395" t="str">
        <f t="shared" si="12"/>
        <v xml:space="preserve">Row 138 - If ‘Total amount’ is given, then ‘Net / Gross’ and ‘Total amount unit’ are required </v>
      </c>
      <c r="I395" t="s">
        <v>1391</v>
      </c>
      <c r="J395" t="b">
        <f>IF(OR(INDEX(OHZ_HAZ_TOTAMOUNT,138,1)&lt;&gt;"",),IF(OR(INDEX(OHZ_HAZ_TOTNETGROSS,138,1)="",INDEX(OHZ_HAZ_TOTUNIT,138,1)="",),FALSE,TRUE),TRUE)</f>
        <v>1</v>
      </c>
      <c r="K395" t="str">
        <f t="shared" si="13"/>
        <v xml:space="preserve">Row 138 - If ‘Total amount’ is given, then ‘Net / Gross’ and ‘Total amount unit’ are required </v>
      </c>
      <c r="L395" t="s">
        <v>1391</v>
      </c>
    </row>
    <row r="396" spans="6:12" x14ac:dyDescent="0.25">
      <c r="F396" t="s">
        <v>1391</v>
      </c>
      <c r="G396" t="b">
        <f>IF(OR(INDEX(IHZ_HAZ_TOTAMOUNT,139,1)&lt;&gt;"",),IF(OR(INDEX(IHZ_HAZ_TOTNETGROSS,139,1)="",INDEX(IHZ_HAZ_TOTUNIT,139,1)="",),FALSE,TRUE),TRUE)</f>
        <v>1</v>
      </c>
      <c r="H396" t="str">
        <f t="shared" si="12"/>
        <v xml:space="preserve">Row 139 - If ‘Total amount’ is given, then ‘Net / Gross’ and ‘Total amount unit’ are required </v>
      </c>
      <c r="I396" t="s">
        <v>1391</v>
      </c>
      <c r="J396" t="b">
        <f>IF(OR(INDEX(OHZ_HAZ_TOTAMOUNT,139,1)&lt;&gt;"",),IF(OR(INDEX(OHZ_HAZ_TOTNETGROSS,139,1)="",INDEX(OHZ_HAZ_TOTUNIT,139,1)="",),FALSE,TRUE),TRUE)</f>
        <v>1</v>
      </c>
      <c r="K396" t="str">
        <f t="shared" si="13"/>
        <v xml:space="preserve">Row 139 - If ‘Total amount’ is given, then ‘Net / Gross’ and ‘Total amount unit’ are required </v>
      </c>
      <c r="L396" t="s">
        <v>1391</v>
      </c>
    </row>
    <row r="397" spans="6:12" x14ac:dyDescent="0.25">
      <c r="G397" t="b">
        <f>IF(OR(INDEX(IHZ_HAZ_TOTAMOUNT,140,1)&lt;&gt;"",),IF(OR(INDEX(IHZ_HAZ_TOTNETGROSS,140,1)="",INDEX(IHZ_HAZ_TOTUNIT,140,1)="",),FALSE,TRUE),TRUE)</f>
        <v>1</v>
      </c>
      <c r="H397" t="str">
        <f t="shared" si="12"/>
        <v xml:space="preserve">Row 140 - If ‘Total amount’ is given, then ‘Net / Gross’ and ‘Total amount unit’ are required </v>
      </c>
      <c r="I397" t="s">
        <v>1391</v>
      </c>
      <c r="J397" t="b">
        <f>IF(OR(INDEX(OHZ_HAZ_TOTAMOUNT,140,1)&lt;&gt;"",),IF(OR(INDEX(OHZ_HAZ_TOTNETGROSS,140,1)="",INDEX(OHZ_HAZ_TOTUNIT,140,1)="",),FALSE,TRUE),TRUE)</f>
        <v>1</v>
      </c>
      <c r="K397" t="str">
        <f t="shared" si="13"/>
        <v xml:space="preserve">Row 140 - If ‘Total amount’ is given, then ‘Net / Gross’ and ‘Total amount unit’ are required </v>
      </c>
      <c r="L397" t="s">
        <v>1391</v>
      </c>
    </row>
    <row r="398" spans="6:12" x14ac:dyDescent="0.25">
      <c r="G398" t="b">
        <f>IF(OR(INDEX(IHZ_HAZ_TOTAMOUNT,141,1)&lt;&gt;"",),IF(OR(INDEX(IHZ_HAZ_TOTNETGROSS,141,1)="",INDEX(IHZ_HAZ_TOTUNIT,141,1)="",),FALSE,TRUE),TRUE)</f>
        <v>1</v>
      </c>
      <c r="H398" t="str">
        <f t="shared" si="12"/>
        <v xml:space="preserve">Row 141 - If ‘Total amount’ is given, then ‘Net / Gross’ and ‘Total amount unit’ are required </v>
      </c>
      <c r="I398" t="s">
        <v>1391</v>
      </c>
      <c r="J398" t="b">
        <f>IF(OR(INDEX(OHZ_HAZ_TOTAMOUNT,141,1)&lt;&gt;"",),IF(OR(INDEX(OHZ_HAZ_TOTNETGROSS,141,1)="",INDEX(OHZ_HAZ_TOTUNIT,141,1)="",),FALSE,TRUE),TRUE)</f>
        <v>1</v>
      </c>
      <c r="K398" t="str">
        <f t="shared" si="13"/>
        <v xml:space="preserve">Row 141 - If ‘Total amount’ is given, then ‘Net / Gross’ and ‘Total amount unit’ are required </v>
      </c>
      <c r="L398" t="s">
        <v>1391</v>
      </c>
    </row>
    <row r="399" spans="6:12" x14ac:dyDescent="0.25">
      <c r="G399" t="b">
        <f>IF(OR(INDEX(IHZ_HAZ_TOTAMOUNT,142,1)&lt;&gt;"",),IF(OR(INDEX(IHZ_HAZ_TOTNETGROSS,142,1)="",INDEX(IHZ_HAZ_TOTUNIT,142,1)="",),FALSE,TRUE),TRUE)</f>
        <v>1</v>
      </c>
      <c r="H399" t="str">
        <f t="shared" si="12"/>
        <v xml:space="preserve">Row 142 - If ‘Total amount’ is given, then ‘Net / Gross’ and ‘Total amount unit’ are required </v>
      </c>
      <c r="I399" t="s">
        <v>1391</v>
      </c>
      <c r="J399" t="b">
        <f>IF(OR(INDEX(OHZ_HAZ_TOTAMOUNT,142,1)&lt;&gt;"",),IF(OR(INDEX(OHZ_HAZ_TOTNETGROSS,142,1)="",INDEX(OHZ_HAZ_TOTUNIT,142,1)="",),FALSE,TRUE),TRUE)</f>
        <v>1</v>
      </c>
      <c r="K399" t="str">
        <f t="shared" si="13"/>
        <v xml:space="preserve">Row 142 - If ‘Total amount’ is given, then ‘Net / Gross’ and ‘Total amount unit’ are required </v>
      </c>
      <c r="L399" t="s">
        <v>1391</v>
      </c>
    </row>
    <row r="400" spans="6:12" x14ac:dyDescent="0.25">
      <c r="G400" t="b">
        <f>IF(OR(INDEX(IHZ_HAZ_TOTAMOUNT,143,1)&lt;&gt;"",),IF(OR(INDEX(IHZ_HAZ_TOTNETGROSS,143,1)="",INDEX(IHZ_HAZ_TOTUNIT,143,1)="",),FALSE,TRUE),TRUE)</f>
        <v>1</v>
      </c>
      <c r="H400" t="str">
        <f t="shared" si="12"/>
        <v xml:space="preserve">Row 143 - If ‘Total amount’ is given, then ‘Net / Gross’ and ‘Total amount unit’ are required </v>
      </c>
      <c r="I400" t="s">
        <v>1391</v>
      </c>
      <c r="J400" t="b">
        <f>IF(OR(INDEX(OHZ_HAZ_TOTAMOUNT,143,1)&lt;&gt;"",),IF(OR(INDEX(OHZ_HAZ_TOTNETGROSS,143,1)="",INDEX(OHZ_HAZ_TOTUNIT,143,1)="",),FALSE,TRUE),TRUE)</f>
        <v>1</v>
      </c>
      <c r="K400" t="str">
        <f t="shared" si="13"/>
        <v xml:space="preserve">Row 143 - If ‘Total amount’ is given, then ‘Net / Gross’ and ‘Total amount unit’ are required </v>
      </c>
      <c r="L400" t="s">
        <v>1391</v>
      </c>
    </row>
    <row r="401" spans="7:12" x14ac:dyDescent="0.25">
      <c r="G401" t="b">
        <f>IF(OR(INDEX(IHZ_HAZ_TOTAMOUNT,144,1)&lt;&gt;"",),IF(OR(INDEX(IHZ_HAZ_TOTNETGROSS,144,1)="",INDEX(IHZ_HAZ_TOTUNIT,144,1)="",),FALSE,TRUE),TRUE)</f>
        <v>1</v>
      </c>
      <c r="H401" t="str">
        <f t="shared" si="12"/>
        <v xml:space="preserve">Row 144 - If ‘Total amount’ is given, then ‘Net / Gross’ and ‘Total amount unit’ are required </v>
      </c>
      <c r="I401" t="s">
        <v>1391</v>
      </c>
      <c r="J401" t="b">
        <f>IF(OR(INDEX(OHZ_HAZ_TOTAMOUNT,144,1)&lt;&gt;"",),IF(OR(INDEX(OHZ_HAZ_TOTNETGROSS,144,1)="",INDEX(OHZ_HAZ_TOTUNIT,144,1)="",),FALSE,TRUE),TRUE)</f>
        <v>1</v>
      </c>
      <c r="K401" t="str">
        <f t="shared" si="13"/>
        <v xml:space="preserve">Row 144 - If ‘Total amount’ is given, then ‘Net / Gross’ and ‘Total amount unit’ are required </v>
      </c>
      <c r="L401" t="s">
        <v>1391</v>
      </c>
    </row>
    <row r="402" spans="7:12" x14ac:dyDescent="0.25">
      <c r="G402" t="b">
        <f>IF(OR(INDEX(IHZ_HAZ_TOTAMOUNT,145,1)&lt;&gt;"",),IF(OR(INDEX(IHZ_HAZ_TOTNETGROSS,145,1)="",INDEX(IHZ_HAZ_TOTUNIT,145,1)="",),FALSE,TRUE),TRUE)</f>
        <v>1</v>
      </c>
      <c r="H402" t="str">
        <f t="shared" si="12"/>
        <v xml:space="preserve">Row 145 - If ‘Total amount’ is given, then ‘Net / Gross’ and ‘Total amount unit’ are required </v>
      </c>
      <c r="I402" t="s">
        <v>1391</v>
      </c>
      <c r="J402" t="b">
        <f>IF(OR(INDEX(OHZ_HAZ_TOTAMOUNT,145,1)&lt;&gt;"",),IF(OR(INDEX(OHZ_HAZ_TOTNETGROSS,145,1)="",INDEX(OHZ_HAZ_TOTUNIT,145,1)="",),FALSE,TRUE),TRUE)</f>
        <v>1</v>
      </c>
      <c r="K402" t="str">
        <f t="shared" si="13"/>
        <v xml:space="preserve">Row 145 - If ‘Total amount’ is given, then ‘Net / Gross’ and ‘Total amount unit’ are required </v>
      </c>
      <c r="L402" t="s">
        <v>1391</v>
      </c>
    </row>
    <row r="403" spans="7:12" x14ac:dyDescent="0.25">
      <c r="G403" t="b">
        <f>IF(OR(INDEX(IHZ_HAZ_TOTAMOUNT,146,1)&lt;&gt;"",),IF(OR(INDEX(IHZ_HAZ_TOTNETGROSS,146,1)="",INDEX(IHZ_HAZ_TOTUNIT,146,1)="",),FALSE,TRUE),TRUE)</f>
        <v>1</v>
      </c>
      <c r="H403" t="str">
        <f t="shared" si="12"/>
        <v xml:space="preserve">Row 146 - If ‘Total amount’ is given, then ‘Net / Gross’ and ‘Total amount unit’ are required </v>
      </c>
      <c r="I403" t="s">
        <v>1391</v>
      </c>
      <c r="J403" t="b">
        <f>IF(OR(INDEX(OHZ_HAZ_TOTAMOUNT,146,1)&lt;&gt;"",),IF(OR(INDEX(OHZ_HAZ_TOTNETGROSS,146,1)="",INDEX(OHZ_HAZ_TOTUNIT,146,1)="",),FALSE,TRUE),TRUE)</f>
        <v>1</v>
      </c>
      <c r="K403" t="str">
        <f t="shared" si="13"/>
        <v xml:space="preserve">Row 146 - If ‘Total amount’ is given, then ‘Net / Gross’ and ‘Total amount unit’ are required </v>
      </c>
      <c r="L403" t="s">
        <v>1391</v>
      </c>
    </row>
    <row r="404" spans="7:12" x14ac:dyDescent="0.25">
      <c r="G404" t="b">
        <f>IF(OR(INDEX(IHZ_HAZ_TOTAMOUNT,147,1)&lt;&gt;"",),IF(OR(INDEX(IHZ_HAZ_TOTNETGROSS,147,1)="",INDEX(IHZ_HAZ_TOTUNIT,147,1)="",),FALSE,TRUE),TRUE)</f>
        <v>1</v>
      </c>
      <c r="H404" t="str">
        <f t="shared" si="12"/>
        <v xml:space="preserve">Row 147 - If ‘Total amount’ is given, then ‘Net / Gross’ and ‘Total amount unit’ are required </v>
      </c>
      <c r="I404" t="s">
        <v>1391</v>
      </c>
      <c r="J404" t="b">
        <f>IF(OR(INDEX(OHZ_HAZ_TOTAMOUNT,147,1)&lt;&gt;"",),IF(OR(INDEX(OHZ_HAZ_TOTNETGROSS,147,1)="",INDEX(OHZ_HAZ_TOTUNIT,147,1)="",),FALSE,TRUE),TRUE)</f>
        <v>1</v>
      </c>
      <c r="K404" t="str">
        <f t="shared" si="13"/>
        <v xml:space="preserve">Row 147 - If ‘Total amount’ is given, then ‘Net / Gross’ and ‘Total amount unit’ are required </v>
      </c>
      <c r="L404" t="s">
        <v>1391</v>
      </c>
    </row>
    <row r="405" spans="7:12" x14ac:dyDescent="0.25">
      <c r="G405" t="b">
        <f>IF(OR(INDEX(IHZ_HAZ_TOTAMOUNT,148,1)&lt;&gt;"",),IF(OR(INDEX(IHZ_HAZ_TOTNETGROSS,148,1)="",INDEX(IHZ_HAZ_TOTUNIT,148,1)="",),FALSE,TRUE),TRUE)</f>
        <v>1</v>
      </c>
      <c r="H405" t="str">
        <f t="shared" si="12"/>
        <v xml:space="preserve">Row 148 - If ‘Total amount’ is given, then ‘Net / Gross’ and ‘Total amount unit’ are required </v>
      </c>
      <c r="I405" t="s">
        <v>1391</v>
      </c>
      <c r="J405" t="b">
        <f>IF(OR(INDEX(OHZ_HAZ_TOTAMOUNT,148,1)&lt;&gt;"",),IF(OR(INDEX(OHZ_HAZ_TOTNETGROSS,148,1)="",INDEX(OHZ_HAZ_TOTUNIT,148,1)="",),FALSE,TRUE),TRUE)</f>
        <v>1</v>
      </c>
      <c r="K405" t="str">
        <f t="shared" si="13"/>
        <v xml:space="preserve">Row 148 - If ‘Total amount’ is given, then ‘Net / Gross’ and ‘Total amount unit’ are required </v>
      </c>
      <c r="L405" t="s">
        <v>1391</v>
      </c>
    </row>
    <row r="406" spans="7:12" x14ac:dyDescent="0.25">
      <c r="G406" t="b">
        <f>IF(OR(INDEX(IHZ_HAZ_TOTAMOUNT,149,1)&lt;&gt;"",),IF(OR(INDEX(IHZ_HAZ_TOTNETGROSS,149,1)="",INDEX(IHZ_HAZ_TOTUNIT,149,1)="",),FALSE,TRUE),TRUE)</f>
        <v>1</v>
      </c>
      <c r="H406" t="str">
        <f t="shared" si="12"/>
        <v xml:space="preserve">Row 149 - If ‘Total amount’ is given, then ‘Net / Gross’ and ‘Total amount unit’ are required </v>
      </c>
      <c r="I406" t="s">
        <v>1391</v>
      </c>
      <c r="J406" t="b">
        <f>IF(OR(INDEX(OHZ_HAZ_TOTAMOUNT,149,1)&lt;&gt;"",),IF(OR(INDEX(OHZ_HAZ_TOTNETGROSS,149,1)="",INDEX(OHZ_HAZ_TOTUNIT,149,1)="",),FALSE,TRUE),TRUE)</f>
        <v>1</v>
      </c>
      <c r="K406" t="str">
        <f t="shared" si="13"/>
        <v xml:space="preserve">Row 149 - If ‘Total amount’ is given, then ‘Net / Gross’ and ‘Total amount unit’ are required </v>
      </c>
      <c r="L406" t="s">
        <v>1391</v>
      </c>
    </row>
    <row r="407" spans="7:12" x14ac:dyDescent="0.25">
      <c r="G407" t="b">
        <f>IF(OR(INDEX(IHZ_HAZ_TOTAMOUNT,150,1)&lt;&gt;"",),IF(OR(INDEX(IHZ_HAZ_TOTNETGROSS,150,1)="",INDEX(IHZ_HAZ_TOTUNIT,150,1)="",),FALSE,TRUE),TRUE)</f>
        <v>1</v>
      </c>
      <c r="H407" t="str">
        <f t="shared" si="12"/>
        <v xml:space="preserve">Row 150 - If ‘Total amount’ is given, then ‘Net / Gross’ and ‘Total amount unit’ are required </v>
      </c>
      <c r="I407" t="s">
        <v>1391</v>
      </c>
      <c r="J407" t="b">
        <f>IF(OR(INDEX(OHZ_HAZ_TOTAMOUNT,150,1)&lt;&gt;"",),IF(OR(INDEX(OHZ_HAZ_TOTNETGROSS,150,1)="",INDEX(OHZ_HAZ_TOTUNIT,150,1)="",),FALSE,TRUE),TRUE)</f>
        <v>1</v>
      </c>
      <c r="K407" t="str">
        <f t="shared" si="13"/>
        <v xml:space="preserve">Row 150 - If ‘Total amount’ is given, then ‘Net / Gross’ and ‘Total amount unit’ are required </v>
      </c>
      <c r="L407" t="s">
        <v>1391</v>
      </c>
    </row>
    <row r="408" spans="7:12" x14ac:dyDescent="0.25">
      <c r="G408" t="b">
        <f>IF(OR(INDEX(IHZ_HAZ_TOTAMOUNT,151,1)&lt;&gt;"",),IF(OR(INDEX(IHZ_HAZ_TOTNETGROSS,151,1)="",INDEX(IHZ_HAZ_TOTUNIT,151,1)="",),FALSE,TRUE),TRUE)</f>
        <v>1</v>
      </c>
      <c r="H408" t="str">
        <f t="shared" si="12"/>
        <v xml:space="preserve">Row 151 - If ‘Total amount’ is given, then ‘Net / Gross’ and ‘Total amount unit’ are required </v>
      </c>
      <c r="I408" t="s">
        <v>1391</v>
      </c>
      <c r="J408" t="b">
        <f>IF(OR(INDEX(OHZ_HAZ_TOTAMOUNT,151,1)&lt;&gt;"",),IF(OR(INDEX(OHZ_HAZ_TOTNETGROSS,151,1)="",INDEX(OHZ_HAZ_TOTUNIT,151,1)="",),FALSE,TRUE),TRUE)</f>
        <v>1</v>
      </c>
      <c r="K408" t="str">
        <f t="shared" si="13"/>
        <v xml:space="preserve">Row 151 - If ‘Total amount’ is given, then ‘Net / Gross’ and ‘Total amount unit’ are required </v>
      </c>
      <c r="L408" t="s">
        <v>1391</v>
      </c>
    </row>
    <row r="409" spans="7:12" x14ac:dyDescent="0.25">
      <c r="G409" t="b">
        <f>IF(OR(INDEX(IHZ_HAZ_TOTAMOUNT,152,1)&lt;&gt;"",),IF(OR(INDEX(IHZ_HAZ_TOTNETGROSS,152,1)="",INDEX(IHZ_HAZ_TOTUNIT,152,1)="",),FALSE,TRUE),TRUE)</f>
        <v>1</v>
      </c>
      <c r="H409" t="str">
        <f t="shared" si="12"/>
        <v xml:space="preserve">Row 152 - If ‘Total amount’ is given, then ‘Net / Gross’ and ‘Total amount unit’ are required </v>
      </c>
      <c r="I409" t="s">
        <v>1391</v>
      </c>
      <c r="J409" t="b">
        <f>IF(OR(INDEX(OHZ_HAZ_TOTAMOUNT,152,1)&lt;&gt;"",),IF(OR(INDEX(OHZ_HAZ_TOTNETGROSS,152,1)="",INDEX(OHZ_HAZ_TOTUNIT,152,1)="",),FALSE,TRUE),TRUE)</f>
        <v>1</v>
      </c>
      <c r="K409" t="str">
        <f t="shared" si="13"/>
        <v xml:space="preserve">Row 152 - If ‘Total amount’ is given, then ‘Net / Gross’ and ‘Total amount unit’ are required </v>
      </c>
      <c r="L409" t="s">
        <v>1391</v>
      </c>
    </row>
    <row r="410" spans="7:12" x14ac:dyDescent="0.25">
      <c r="G410" t="b">
        <f>IF(OR(INDEX(IHZ_HAZ_TOTAMOUNT,153,1)&lt;&gt;"",),IF(OR(INDEX(IHZ_HAZ_TOTNETGROSS,153,1)="",INDEX(IHZ_HAZ_TOTUNIT,153,1)="",),FALSE,TRUE),TRUE)</f>
        <v>1</v>
      </c>
      <c r="H410" t="str">
        <f t="shared" si="12"/>
        <v xml:space="preserve">Row 153 - If ‘Total amount’ is given, then ‘Net / Gross’ and ‘Total amount unit’ are required </v>
      </c>
      <c r="I410" t="s">
        <v>1391</v>
      </c>
      <c r="J410" t="b">
        <f>IF(OR(INDEX(OHZ_HAZ_TOTAMOUNT,153,1)&lt;&gt;"",),IF(OR(INDEX(OHZ_HAZ_TOTNETGROSS,153,1)="",INDEX(OHZ_HAZ_TOTUNIT,153,1)="",),FALSE,TRUE),TRUE)</f>
        <v>1</v>
      </c>
      <c r="K410" t="str">
        <f t="shared" si="13"/>
        <v xml:space="preserve">Row 153 - If ‘Total amount’ is given, then ‘Net / Gross’ and ‘Total amount unit’ are required </v>
      </c>
      <c r="L410" t="s">
        <v>1391</v>
      </c>
    </row>
    <row r="411" spans="7:12" x14ac:dyDescent="0.25">
      <c r="G411" t="b">
        <f>IF(OR(INDEX(IHZ_HAZ_TOTAMOUNT,154,1)&lt;&gt;"",),IF(OR(INDEX(IHZ_HAZ_TOTNETGROSS,154,1)="",INDEX(IHZ_HAZ_TOTUNIT,154,1)="",),FALSE,TRUE),TRUE)</f>
        <v>1</v>
      </c>
      <c r="H411" t="str">
        <f t="shared" si="12"/>
        <v xml:space="preserve">Row 154 - If ‘Total amount’ is given, then ‘Net / Gross’ and ‘Total amount unit’ are required </v>
      </c>
      <c r="I411" t="s">
        <v>1391</v>
      </c>
      <c r="J411" t="b">
        <f>IF(OR(INDEX(OHZ_HAZ_TOTAMOUNT,154,1)&lt;&gt;"",),IF(OR(INDEX(OHZ_HAZ_TOTNETGROSS,154,1)="",INDEX(OHZ_HAZ_TOTUNIT,154,1)="",),FALSE,TRUE),TRUE)</f>
        <v>1</v>
      </c>
      <c r="K411" t="str">
        <f t="shared" si="13"/>
        <v xml:space="preserve">Row 154 - If ‘Total amount’ is given, then ‘Net / Gross’ and ‘Total amount unit’ are required </v>
      </c>
      <c r="L411" t="s">
        <v>1391</v>
      </c>
    </row>
    <row r="412" spans="7:12" x14ac:dyDescent="0.25">
      <c r="G412" t="b">
        <f>IF(OR(INDEX(IHZ_HAZ_TOTAMOUNT,155,1)&lt;&gt;"",),IF(OR(INDEX(IHZ_HAZ_TOTNETGROSS,155,1)="",INDEX(IHZ_HAZ_TOTUNIT,155,1)="",),FALSE,TRUE),TRUE)</f>
        <v>1</v>
      </c>
      <c r="H412" t="str">
        <f t="shared" si="12"/>
        <v xml:space="preserve">Row 155 - If ‘Total amount’ is given, then ‘Net / Gross’ and ‘Total amount unit’ are required </v>
      </c>
      <c r="I412" t="s">
        <v>1391</v>
      </c>
      <c r="J412" t="b">
        <f>IF(OR(INDEX(OHZ_HAZ_TOTAMOUNT,155,1)&lt;&gt;"",),IF(OR(INDEX(OHZ_HAZ_TOTNETGROSS,155,1)="",INDEX(OHZ_HAZ_TOTUNIT,155,1)="",),FALSE,TRUE),TRUE)</f>
        <v>1</v>
      </c>
      <c r="K412" t="str">
        <f t="shared" si="13"/>
        <v xml:space="preserve">Row 155 - If ‘Total amount’ is given, then ‘Net / Gross’ and ‘Total amount unit’ are required </v>
      </c>
      <c r="L412" t="s">
        <v>1391</v>
      </c>
    </row>
    <row r="413" spans="7:12" x14ac:dyDescent="0.25">
      <c r="G413" t="b">
        <f>IF(OR(INDEX(IHZ_HAZ_TOTAMOUNT,156,1)&lt;&gt;"",),IF(OR(INDEX(IHZ_HAZ_TOTNETGROSS,156,1)="",INDEX(IHZ_HAZ_TOTUNIT,156,1)="",),FALSE,TRUE),TRUE)</f>
        <v>1</v>
      </c>
      <c r="H413" t="str">
        <f t="shared" si="12"/>
        <v xml:space="preserve">Row 156 - If ‘Total amount’ is given, then ‘Net / Gross’ and ‘Total amount unit’ are required </v>
      </c>
      <c r="I413" t="s">
        <v>1391</v>
      </c>
      <c r="J413" t="b">
        <f>IF(OR(INDEX(OHZ_HAZ_TOTAMOUNT,156,1)&lt;&gt;"",),IF(OR(INDEX(OHZ_HAZ_TOTNETGROSS,156,1)="",INDEX(OHZ_HAZ_TOTUNIT,156,1)="",),FALSE,TRUE),TRUE)</f>
        <v>1</v>
      </c>
      <c r="K413" t="str">
        <f t="shared" si="13"/>
        <v xml:space="preserve">Row 156 - If ‘Total amount’ is given, then ‘Net / Gross’ and ‘Total amount unit’ are required </v>
      </c>
      <c r="L413" t="s">
        <v>1391</v>
      </c>
    </row>
    <row r="414" spans="7:12" x14ac:dyDescent="0.25">
      <c r="G414" t="b">
        <f>IF(OR(INDEX(IHZ_HAZ_TOTAMOUNT,157,1)&lt;&gt;"",),IF(OR(INDEX(IHZ_HAZ_TOTNETGROSS,157,1)="",INDEX(IHZ_HAZ_TOTUNIT,157,1)="",),FALSE,TRUE),TRUE)</f>
        <v>1</v>
      </c>
      <c r="H414" t="str">
        <f t="shared" si="12"/>
        <v xml:space="preserve">Row 157 - If ‘Total amount’ is given, then ‘Net / Gross’ and ‘Total amount unit’ are required </v>
      </c>
      <c r="I414" t="s">
        <v>1391</v>
      </c>
      <c r="J414" t="b">
        <f>IF(OR(INDEX(OHZ_HAZ_TOTAMOUNT,157,1)&lt;&gt;"",),IF(OR(INDEX(OHZ_HAZ_TOTNETGROSS,157,1)="",INDEX(OHZ_HAZ_TOTUNIT,157,1)="",),FALSE,TRUE),TRUE)</f>
        <v>1</v>
      </c>
      <c r="K414" t="str">
        <f t="shared" si="13"/>
        <v xml:space="preserve">Row 157 - If ‘Total amount’ is given, then ‘Net / Gross’ and ‘Total amount unit’ are required </v>
      </c>
      <c r="L414" t="s">
        <v>1391</v>
      </c>
    </row>
    <row r="415" spans="7:12" x14ac:dyDescent="0.25">
      <c r="G415" t="b">
        <f>IF(OR(INDEX(IHZ_HAZ_TOTAMOUNT,158,1)&lt;&gt;"",),IF(OR(INDEX(IHZ_HAZ_TOTNETGROSS,158,1)="",INDEX(IHZ_HAZ_TOTUNIT,158,1)="",),FALSE,TRUE),TRUE)</f>
        <v>1</v>
      </c>
      <c r="H415" t="str">
        <f t="shared" si="12"/>
        <v xml:space="preserve">Row 158 - If ‘Total amount’ is given, then ‘Net / Gross’ and ‘Total amount unit’ are required </v>
      </c>
      <c r="I415" t="s">
        <v>1391</v>
      </c>
      <c r="J415" t="b">
        <f>IF(OR(INDEX(OHZ_HAZ_TOTAMOUNT,158,1)&lt;&gt;"",),IF(OR(INDEX(OHZ_HAZ_TOTNETGROSS,158,1)="",INDEX(OHZ_HAZ_TOTUNIT,158,1)="",),FALSE,TRUE),TRUE)</f>
        <v>1</v>
      </c>
      <c r="K415" t="str">
        <f t="shared" si="13"/>
        <v xml:space="preserve">Row 158 - If ‘Total amount’ is given, then ‘Net / Gross’ and ‘Total amount unit’ are required </v>
      </c>
      <c r="L415" t="s">
        <v>1391</v>
      </c>
    </row>
    <row r="416" spans="7:12" x14ac:dyDescent="0.25">
      <c r="G416" t="b">
        <f>IF(OR(INDEX(IHZ_HAZ_TOTAMOUNT,159,1)&lt;&gt;"",),IF(OR(INDEX(IHZ_HAZ_TOTNETGROSS,159,1)="",INDEX(IHZ_HAZ_TOTUNIT,159,1)="",),FALSE,TRUE),TRUE)</f>
        <v>1</v>
      </c>
      <c r="H416" t="str">
        <f t="shared" si="12"/>
        <v xml:space="preserve">Row 159 - If ‘Total amount’ is given, then ‘Net / Gross’ and ‘Total amount unit’ are required </v>
      </c>
      <c r="I416" t="s">
        <v>1391</v>
      </c>
      <c r="J416" t="b">
        <f>IF(OR(INDEX(OHZ_HAZ_TOTAMOUNT,159,1)&lt;&gt;"",),IF(OR(INDEX(OHZ_HAZ_TOTNETGROSS,159,1)="",INDEX(OHZ_HAZ_TOTUNIT,159,1)="",),FALSE,TRUE),TRUE)</f>
        <v>1</v>
      </c>
      <c r="K416" t="str">
        <f t="shared" si="13"/>
        <v xml:space="preserve">Row 159 - If ‘Total amount’ is given, then ‘Net / Gross’ and ‘Total amount unit’ are required </v>
      </c>
      <c r="L416" t="s">
        <v>1391</v>
      </c>
    </row>
    <row r="417" spans="7:12" x14ac:dyDescent="0.25">
      <c r="G417" t="b">
        <f>IF(OR(INDEX(IHZ_HAZ_TOTAMOUNT,160,1)&lt;&gt;"",),IF(OR(INDEX(IHZ_HAZ_TOTNETGROSS,160,1)="",INDEX(IHZ_HAZ_TOTUNIT,160,1)="",),FALSE,TRUE),TRUE)</f>
        <v>1</v>
      </c>
      <c r="H417" t="str">
        <f t="shared" si="12"/>
        <v xml:space="preserve">Row 160 - If ‘Total amount’ is given, then ‘Net / Gross’ and ‘Total amount unit’ are required </v>
      </c>
      <c r="I417" t="s">
        <v>1391</v>
      </c>
      <c r="J417" t="b">
        <f>IF(OR(INDEX(OHZ_HAZ_TOTAMOUNT,160,1)&lt;&gt;"",),IF(OR(INDEX(OHZ_HAZ_TOTNETGROSS,160,1)="",INDEX(OHZ_HAZ_TOTUNIT,160,1)="",),FALSE,TRUE),TRUE)</f>
        <v>1</v>
      </c>
      <c r="K417" t="str">
        <f t="shared" si="13"/>
        <v xml:space="preserve">Row 160 - If ‘Total amount’ is given, then ‘Net / Gross’ and ‘Total amount unit’ are required </v>
      </c>
      <c r="L417" t="s">
        <v>1391</v>
      </c>
    </row>
    <row r="418" spans="7:12" x14ac:dyDescent="0.25">
      <c r="G418" t="b">
        <f>IF(OR(INDEX(IHZ_HAZ_TOTAMOUNT,161,1)&lt;&gt;"",),IF(OR(INDEX(IHZ_HAZ_TOTNETGROSS,161,1)="",INDEX(IHZ_HAZ_TOTUNIT,161,1)="",),FALSE,TRUE),TRUE)</f>
        <v>1</v>
      </c>
      <c r="H418" t="str">
        <f t="shared" si="12"/>
        <v xml:space="preserve">Row 161 - If ‘Total amount’ is given, then ‘Net / Gross’ and ‘Total amount unit’ are required </v>
      </c>
      <c r="I418" t="s">
        <v>1391</v>
      </c>
      <c r="J418" t="b">
        <f>IF(OR(INDEX(OHZ_HAZ_TOTAMOUNT,161,1)&lt;&gt;"",),IF(OR(INDEX(OHZ_HAZ_TOTNETGROSS,161,1)="",INDEX(OHZ_HAZ_TOTUNIT,161,1)="",),FALSE,TRUE),TRUE)</f>
        <v>1</v>
      </c>
      <c r="K418" t="str">
        <f t="shared" si="13"/>
        <v xml:space="preserve">Row 161 - If ‘Total amount’ is given, then ‘Net / Gross’ and ‘Total amount unit’ are required </v>
      </c>
      <c r="L418" t="s">
        <v>1391</v>
      </c>
    </row>
    <row r="419" spans="7:12" x14ac:dyDescent="0.25">
      <c r="G419" t="b">
        <f>IF(OR(INDEX(IHZ_HAZ_TOTAMOUNT,162,1)&lt;&gt;"",),IF(OR(INDEX(IHZ_HAZ_TOTNETGROSS,162,1)="",INDEX(IHZ_HAZ_TOTUNIT,162,1)="",),FALSE,TRUE),TRUE)</f>
        <v>1</v>
      </c>
      <c r="H419" t="str">
        <f t="shared" si="12"/>
        <v xml:space="preserve">Row 162 - If ‘Total amount’ is given, then ‘Net / Gross’ and ‘Total amount unit’ are required </v>
      </c>
      <c r="I419" t="s">
        <v>1391</v>
      </c>
      <c r="J419" t="b">
        <f>IF(OR(INDEX(OHZ_HAZ_TOTAMOUNT,162,1)&lt;&gt;"",),IF(OR(INDEX(OHZ_HAZ_TOTNETGROSS,162,1)="",INDEX(OHZ_HAZ_TOTUNIT,162,1)="",),FALSE,TRUE),TRUE)</f>
        <v>1</v>
      </c>
      <c r="K419" t="str">
        <f t="shared" si="13"/>
        <v xml:space="preserve">Row 162 - If ‘Total amount’ is given, then ‘Net / Gross’ and ‘Total amount unit’ are required </v>
      </c>
      <c r="L419" t="s">
        <v>1391</v>
      </c>
    </row>
    <row r="420" spans="7:12" x14ac:dyDescent="0.25">
      <c r="G420" t="b">
        <f>IF(OR(INDEX(IHZ_HAZ_TOTAMOUNT,163,1)&lt;&gt;"",),IF(OR(INDEX(IHZ_HAZ_TOTNETGROSS,163,1)="",INDEX(IHZ_HAZ_TOTUNIT,163,1)="",),FALSE,TRUE),TRUE)</f>
        <v>1</v>
      </c>
      <c r="H420" t="str">
        <f t="shared" si="12"/>
        <v xml:space="preserve">Row 163 - If ‘Total amount’ is given, then ‘Net / Gross’ and ‘Total amount unit’ are required </v>
      </c>
      <c r="I420" t="s">
        <v>1391</v>
      </c>
      <c r="J420" t="b">
        <f>IF(OR(INDEX(OHZ_HAZ_TOTAMOUNT,163,1)&lt;&gt;"",),IF(OR(INDEX(OHZ_HAZ_TOTNETGROSS,163,1)="",INDEX(OHZ_HAZ_TOTUNIT,163,1)="",),FALSE,TRUE),TRUE)</f>
        <v>1</v>
      </c>
      <c r="K420" t="str">
        <f t="shared" si="13"/>
        <v xml:space="preserve">Row 163 - If ‘Total amount’ is given, then ‘Net / Gross’ and ‘Total amount unit’ are required </v>
      </c>
      <c r="L420" t="s">
        <v>1391</v>
      </c>
    </row>
    <row r="421" spans="7:12" x14ac:dyDescent="0.25">
      <c r="G421" t="b">
        <f>IF(OR(INDEX(IHZ_HAZ_TOTAMOUNT,164,1)&lt;&gt;"",),IF(OR(INDEX(IHZ_HAZ_TOTNETGROSS,164,1)="",INDEX(IHZ_HAZ_TOTUNIT,164,1)="",),FALSE,TRUE),TRUE)</f>
        <v>1</v>
      </c>
      <c r="H421" t="str">
        <f t="shared" si="12"/>
        <v xml:space="preserve">Row 164 - If ‘Total amount’ is given, then ‘Net / Gross’ and ‘Total amount unit’ are required </v>
      </c>
      <c r="I421" t="s">
        <v>1391</v>
      </c>
      <c r="J421" t="b">
        <f>IF(OR(INDEX(OHZ_HAZ_TOTAMOUNT,164,1)&lt;&gt;"",),IF(OR(INDEX(OHZ_HAZ_TOTNETGROSS,164,1)="",INDEX(OHZ_HAZ_TOTUNIT,164,1)="",),FALSE,TRUE),TRUE)</f>
        <v>1</v>
      </c>
      <c r="K421" t="str">
        <f t="shared" si="13"/>
        <v xml:space="preserve">Row 164 - If ‘Total amount’ is given, then ‘Net / Gross’ and ‘Total amount unit’ are required </v>
      </c>
      <c r="L421" t="s">
        <v>1391</v>
      </c>
    </row>
    <row r="422" spans="7:12" x14ac:dyDescent="0.25">
      <c r="G422" t="b">
        <f>IF(OR(INDEX(IHZ_HAZ_TOTAMOUNT,165,1)&lt;&gt;"",),IF(OR(INDEX(IHZ_HAZ_TOTNETGROSS,165,1)="",INDEX(IHZ_HAZ_TOTUNIT,165,1)="",),FALSE,TRUE),TRUE)</f>
        <v>1</v>
      </c>
      <c r="H422" t="str">
        <f t="shared" si="12"/>
        <v xml:space="preserve">Row 165 - If ‘Total amount’ is given, then ‘Net / Gross’ and ‘Total amount unit’ are required </v>
      </c>
      <c r="I422" t="s">
        <v>1391</v>
      </c>
      <c r="J422" t="b">
        <f>IF(OR(INDEX(OHZ_HAZ_TOTAMOUNT,165,1)&lt;&gt;"",),IF(OR(INDEX(OHZ_HAZ_TOTNETGROSS,165,1)="",INDEX(OHZ_HAZ_TOTUNIT,165,1)="",),FALSE,TRUE),TRUE)</f>
        <v>1</v>
      </c>
      <c r="K422" t="str">
        <f t="shared" si="13"/>
        <v xml:space="preserve">Row 165 - If ‘Total amount’ is given, then ‘Net / Gross’ and ‘Total amount unit’ are required </v>
      </c>
      <c r="L422" t="s">
        <v>1391</v>
      </c>
    </row>
    <row r="423" spans="7:12" x14ac:dyDescent="0.25">
      <c r="G423" t="b">
        <f>IF(OR(INDEX(IHZ_HAZ_TOTAMOUNT,166,1)&lt;&gt;"",),IF(OR(INDEX(IHZ_HAZ_TOTNETGROSS,166,1)="",INDEX(IHZ_HAZ_TOTUNIT,166,1)="",),FALSE,TRUE),TRUE)</f>
        <v>1</v>
      </c>
      <c r="H423" t="str">
        <f t="shared" si="12"/>
        <v xml:space="preserve">Row 166 - If ‘Total amount’ is given, then ‘Net / Gross’ and ‘Total amount unit’ are required </v>
      </c>
      <c r="I423" t="s">
        <v>1391</v>
      </c>
      <c r="J423" t="b">
        <f>IF(OR(INDEX(OHZ_HAZ_TOTAMOUNT,166,1)&lt;&gt;"",),IF(OR(INDEX(OHZ_HAZ_TOTNETGROSS,166,1)="",INDEX(OHZ_HAZ_TOTUNIT,166,1)="",),FALSE,TRUE),TRUE)</f>
        <v>1</v>
      </c>
      <c r="K423" t="str">
        <f t="shared" si="13"/>
        <v xml:space="preserve">Row 166 - If ‘Total amount’ is given, then ‘Net / Gross’ and ‘Total amount unit’ are required </v>
      </c>
      <c r="L423" t="s">
        <v>1391</v>
      </c>
    </row>
    <row r="424" spans="7:12" x14ac:dyDescent="0.25">
      <c r="G424" t="b">
        <f>IF(OR(INDEX(IHZ_HAZ_TOTAMOUNT,167,1)&lt;&gt;"",),IF(OR(INDEX(IHZ_HAZ_TOTNETGROSS,167,1)="",INDEX(IHZ_HAZ_TOTUNIT,167,1)="",),FALSE,TRUE),TRUE)</f>
        <v>1</v>
      </c>
      <c r="H424" t="str">
        <f t="shared" si="12"/>
        <v xml:space="preserve">Row 167 - If ‘Total amount’ is given, then ‘Net / Gross’ and ‘Total amount unit’ are required </v>
      </c>
      <c r="I424" t="s">
        <v>1391</v>
      </c>
      <c r="J424" t="b">
        <f>IF(OR(INDEX(OHZ_HAZ_TOTAMOUNT,167,1)&lt;&gt;"",),IF(OR(INDEX(OHZ_HAZ_TOTNETGROSS,167,1)="",INDEX(OHZ_HAZ_TOTUNIT,167,1)="",),FALSE,TRUE),TRUE)</f>
        <v>1</v>
      </c>
      <c r="K424" t="str">
        <f t="shared" si="13"/>
        <v xml:space="preserve">Row 167 - If ‘Total amount’ is given, then ‘Net / Gross’ and ‘Total amount unit’ are required </v>
      </c>
      <c r="L424" t="s">
        <v>1391</v>
      </c>
    </row>
    <row r="425" spans="7:12" x14ac:dyDescent="0.25">
      <c r="G425" t="b">
        <f>IF(OR(INDEX(IHZ_HAZ_TOTAMOUNT,168,1)&lt;&gt;"",),IF(OR(INDEX(IHZ_HAZ_TOTNETGROSS,168,1)="",INDEX(IHZ_HAZ_TOTUNIT,168,1)="",),FALSE,TRUE),TRUE)</f>
        <v>1</v>
      </c>
      <c r="H425" t="str">
        <f t="shared" si="12"/>
        <v xml:space="preserve">Row 168 - If ‘Total amount’ is given, then ‘Net / Gross’ and ‘Total amount unit’ are required </v>
      </c>
      <c r="I425" t="s">
        <v>1391</v>
      </c>
      <c r="J425" t="b">
        <f>IF(OR(INDEX(OHZ_HAZ_TOTAMOUNT,168,1)&lt;&gt;"",),IF(OR(INDEX(OHZ_HAZ_TOTNETGROSS,168,1)="",INDEX(OHZ_HAZ_TOTUNIT,168,1)="",),FALSE,TRUE),TRUE)</f>
        <v>1</v>
      </c>
      <c r="K425" t="str">
        <f t="shared" si="13"/>
        <v xml:space="preserve">Row 168 - If ‘Total amount’ is given, then ‘Net / Gross’ and ‘Total amount unit’ are required </v>
      </c>
      <c r="L425" t="s">
        <v>1391</v>
      </c>
    </row>
    <row r="426" spans="7:12" x14ac:dyDescent="0.25">
      <c r="G426" t="b">
        <f>IF(OR(INDEX(IHZ_HAZ_TOTAMOUNT,169,1)&lt;&gt;"",),IF(OR(INDEX(IHZ_HAZ_TOTNETGROSS,169,1)="",INDEX(IHZ_HAZ_TOTUNIT,169,1)="",),FALSE,TRUE),TRUE)</f>
        <v>1</v>
      </c>
      <c r="H426" t="str">
        <f t="shared" si="12"/>
        <v xml:space="preserve">Row 169 - If ‘Total amount’ is given, then ‘Net / Gross’ and ‘Total amount unit’ are required </v>
      </c>
      <c r="I426" t="s">
        <v>1391</v>
      </c>
      <c r="J426" t="b">
        <f>IF(OR(INDEX(OHZ_HAZ_TOTAMOUNT,169,1)&lt;&gt;"",),IF(OR(INDEX(OHZ_HAZ_TOTNETGROSS,169,1)="",INDEX(OHZ_HAZ_TOTUNIT,169,1)="",),FALSE,TRUE),TRUE)</f>
        <v>1</v>
      </c>
      <c r="K426" t="str">
        <f t="shared" si="13"/>
        <v xml:space="preserve">Row 169 - If ‘Total amount’ is given, then ‘Net / Gross’ and ‘Total amount unit’ are required </v>
      </c>
      <c r="L426" t="s">
        <v>1391</v>
      </c>
    </row>
    <row r="427" spans="7:12" x14ac:dyDescent="0.25">
      <c r="G427" t="b">
        <f>IF(OR(INDEX(IHZ_HAZ_TOTAMOUNT,170,1)&lt;&gt;"",),IF(OR(INDEX(IHZ_HAZ_TOTNETGROSS,170,1)="",INDEX(IHZ_HAZ_TOTUNIT,170,1)="",),FALSE,TRUE),TRUE)</f>
        <v>1</v>
      </c>
      <c r="H427" t="str">
        <f t="shared" si="12"/>
        <v xml:space="preserve">Row 170 - If ‘Total amount’ is given, then ‘Net / Gross’ and ‘Total amount unit’ are required </v>
      </c>
      <c r="I427" t="s">
        <v>1391</v>
      </c>
      <c r="J427" t="b">
        <f>IF(OR(INDEX(OHZ_HAZ_TOTAMOUNT,170,1)&lt;&gt;"",),IF(OR(INDEX(OHZ_HAZ_TOTNETGROSS,170,1)="",INDEX(OHZ_HAZ_TOTUNIT,170,1)="",),FALSE,TRUE),TRUE)</f>
        <v>1</v>
      </c>
      <c r="K427" t="str">
        <f t="shared" si="13"/>
        <v xml:space="preserve">Row 170 - If ‘Total amount’ is given, then ‘Net / Gross’ and ‘Total amount unit’ are required </v>
      </c>
      <c r="L427" t="s">
        <v>1391</v>
      </c>
    </row>
    <row r="428" spans="7:12" x14ac:dyDescent="0.25">
      <c r="G428" t="b">
        <f>IF(OR(INDEX(IHZ_HAZ_TOTAMOUNT,171,1)&lt;&gt;"",),IF(OR(INDEX(IHZ_HAZ_TOTNETGROSS,171,1)="",INDEX(IHZ_HAZ_TOTUNIT,171,1)="",),FALSE,TRUE),TRUE)</f>
        <v>1</v>
      </c>
      <c r="H428" t="str">
        <f t="shared" si="12"/>
        <v xml:space="preserve">Row 171 - If ‘Total amount’ is given, then ‘Net / Gross’ and ‘Total amount unit’ are required </v>
      </c>
      <c r="I428" t="s">
        <v>1391</v>
      </c>
      <c r="J428" t="b">
        <f>IF(OR(INDEX(OHZ_HAZ_TOTAMOUNT,171,1)&lt;&gt;"",),IF(OR(INDEX(OHZ_HAZ_TOTNETGROSS,171,1)="",INDEX(OHZ_HAZ_TOTUNIT,171,1)="",),FALSE,TRUE),TRUE)</f>
        <v>1</v>
      </c>
      <c r="K428" t="str">
        <f t="shared" si="13"/>
        <v xml:space="preserve">Row 171 - If ‘Total amount’ is given, then ‘Net / Gross’ and ‘Total amount unit’ are required </v>
      </c>
      <c r="L428" t="s">
        <v>1391</v>
      </c>
    </row>
    <row r="429" spans="7:12" x14ac:dyDescent="0.25">
      <c r="G429" t="b">
        <f>IF(OR(INDEX(IHZ_HAZ_TOTAMOUNT,172,1)&lt;&gt;"",),IF(OR(INDEX(IHZ_HAZ_TOTNETGROSS,172,1)="",INDEX(IHZ_HAZ_TOTUNIT,172,1)="",),FALSE,TRUE),TRUE)</f>
        <v>1</v>
      </c>
      <c r="H429" t="str">
        <f t="shared" si="12"/>
        <v xml:space="preserve">Row 172 - If ‘Total amount’ is given, then ‘Net / Gross’ and ‘Total amount unit’ are required </v>
      </c>
      <c r="I429" t="s">
        <v>1391</v>
      </c>
      <c r="J429" t="b">
        <f>IF(OR(INDEX(OHZ_HAZ_TOTAMOUNT,172,1)&lt;&gt;"",),IF(OR(INDEX(OHZ_HAZ_TOTNETGROSS,172,1)="",INDEX(OHZ_HAZ_TOTUNIT,172,1)="",),FALSE,TRUE),TRUE)</f>
        <v>1</v>
      </c>
      <c r="K429" t="str">
        <f t="shared" si="13"/>
        <v xml:space="preserve">Row 172 - If ‘Total amount’ is given, then ‘Net / Gross’ and ‘Total amount unit’ are required </v>
      </c>
      <c r="L429" t="s">
        <v>1391</v>
      </c>
    </row>
    <row r="430" spans="7:12" x14ac:dyDescent="0.25">
      <c r="G430" t="b">
        <f>IF(OR(INDEX(IHZ_HAZ_TOTAMOUNT,173,1)&lt;&gt;"",),IF(OR(INDEX(IHZ_HAZ_TOTNETGROSS,173,1)="",INDEX(IHZ_HAZ_TOTUNIT,173,1)="",),FALSE,TRUE),TRUE)</f>
        <v>1</v>
      </c>
      <c r="H430" t="str">
        <f t="shared" si="12"/>
        <v xml:space="preserve">Row 173 - If ‘Total amount’ is given, then ‘Net / Gross’ and ‘Total amount unit’ are required </v>
      </c>
      <c r="I430" t="s">
        <v>1391</v>
      </c>
      <c r="J430" t="b">
        <f>IF(OR(INDEX(OHZ_HAZ_TOTAMOUNT,173,1)&lt;&gt;"",),IF(OR(INDEX(OHZ_HAZ_TOTNETGROSS,173,1)="",INDEX(OHZ_HAZ_TOTUNIT,173,1)="",),FALSE,TRUE),TRUE)</f>
        <v>1</v>
      </c>
      <c r="K430" t="str">
        <f t="shared" si="13"/>
        <v xml:space="preserve">Row 173 - If ‘Total amount’ is given, then ‘Net / Gross’ and ‘Total amount unit’ are required </v>
      </c>
      <c r="L430" t="s">
        <v>1391</v>
      </c>
    </row>
    <row r="431" spans="7:12" x14ac:dyDescent="0.25">
      <c r="G431" t="b">
        <f>IF(OR(INDEX(IHZ_HAZ_TOTAMOUNT,174,1)&lt;&gt;"",),IF(OR(INDEX(IHZ_HAZ_TOTNETGROSS,174,1)="",INDEX(IHZ_HAZ_TOTUNIT,174,1)="",),FALSE,TRUE),TRUE)</f>
        <v>1</v>
      </c>
      <c r="H431" t="str">
        <f t="shared" si="12"/>
        <v xml:space="preserve">Row 174 - If ‘Total amount’ is given, then ‘Net / Gross’ and ‘Total amount unit’ are required </v>
      </c>
      <c r="I431" t="s">
        <v>1391</v>
      </c>
      <c r="J431" t="b">
        <f>IF(OR(INDEX(OHZ_HAZ_TOTAMOUNT,174,1)&lt;&gt;"",),IF(OR(INDEX(OHZ_HAZ_TOTNETGROSS,174,1)="",INDEX(OHZ_HAZ_TOTUNIT,174,1)="",),FALSE,TRUE),TRUE)</f>
        <v>1</v>
      </c>
      <c r="K431" t="str">
        <f t="shared" si="13"/>
        <v xml:space="preserve">Row 174 - If ‘Total amount’ is given, then ‘Net / Gross’ and ‘Total amount unit’ are required </v>
      </c>
      <c r="L431" t="s">
        <v>1391</v>
      </c>
    </row>
    <row r="432" spans="7:12" x14ac:dyDescent="0.25">
      <c r="G432" t="b">
        <f>IF(OR(INDEX(IHZ_HAZ_TOTAMOUNT,175,1)&lt;&gt;"",),IF(OR(INDEX(IHZ_HAZ_TOTNETGROSS,175,1)="",INDEX(IHZ_HAZ_TOTUNIT,175,1)="",),FALSE,TRUE),TRUE)</f>
        <v>1</v>
      </c>
      <c r="H432" t="str">
        <f t="shared" si="12"/>
        <v xml:space="preserve">Row 175 - If ‘Total amount’ is given, then ‘Net / Gross’ and ‘Total amount unit’ are required </v>
      </c>
      <c r="I432" t="s">
        <v>1391</v>
      </c>
      <c r="J432" t="b">
        <f>IF(OR(INDEX(OHZ_HAZ_TOTAMOUNT,175,1)&lt;&gt;"",),IF(OR(INDEX(OHZ_HAZ_TOTNETGROSS,175,1)="",INDEX(OHZ_HAZ_TOTUNIT,175,1)="",),FALSE,TRUE),TRUE)</f>
        <v>1</v>
      </c>
      <c r="K432" t="str">
        <f t="shared" si="13"/>
        <v xml:space="preserve">Row 175 - If ‘Total amount’ is given, then ‘Net / Gross’ and ‘Total amount unit’ are required </v>
      </c>
      <c r="L432" t="s">
        <v>1391</v>
      </c>
    </row>
    <row r="433" spans="7:12" x14ac:dyDescent="0.25">
      <c r="G433" t="b">
        <f>IF(OR(INDEX(IHZ_HAZ_TOTAMOUNT,176,1)&lt;&gt;"",),IF(OR(INDEX(IHZ_HAZ_TOTNETGROSS,176,1)="",INDEX(IHZ_HAZ_TOTUNIT,176,1)="",),FALSE,TRUE),TRUE)</f>
        <v>1</v>
      </c>
      <c r="H433" t="str">
        <f t="shared" si="12"/>
        <v xml:space="preserve">Row 176 - If ‘Total amount’ is given, then ‘Net / Gross’ and ‘Total amount unit’ are required </v>
      </c>
      <c r="I433" t="s">
        <v>1391</v>
      </c>
      <c r="J433" t="b">
        <f>IF(OR(INDEX(OHZ_HAZ_TOTAMOUNT,176,1)&lt;&gt;"",),IF(OR(INDEX(OHZ_HAZ_TOTNETGROSS,176,1)="",INDEX(OHZ_HAZ_TOTUNIT,176,1)="",),FALSE,TRUE),TRUE)</f>
        <v>1</v>
      </c>
      <c r="K433" t="str">
        <f t="shared" si="13"/>
        <v xml:space="preserve">Row 176 - If ‘Total amount’ is given, then ‘Net / Gross’ and ‘Total amount unit’ are required </v>
      </c>
      <c r="L433" t="s">
        <v>1391</v>
      </c>
    </row>
    <row r="434" spans="7:12" x14ac:dyDescent="0.25">
      <c r="G434" t="b">
        <f>IF(OR(INDEX(IHZ_HAZ_TOTAMOUNT,177,1)&lt;&gt;"",),IF(OR(INDEX(IHZ_HAZ_TOTNETGROSS,177,1)="",INDEX(IHZ_HAZ_TOTUNIT,177,1)="",),FALSE,TRUE),TRUE)</f>
        <v>1</v>
      </c>
      <c r="H434" t="str">
        <f t="shared" si="12"/>
        <v xml:space="preserve">Row 177 - If ‘Total amount’ is given, then ‘Net / Gross’ and ‘Total amount unit’ are required </v>
      </c>
      <c r="I434" t="s">
        <v>1391</v>
      </c>
      <c r="J434" t="b">
        <f>IF(OR(INDEX(OHZ_HAZ_TOTAMOUNT,177,1)&lt;&gt;"",),IF(OR(INDEX(OHZ_HAZ_TOTNETGROSS,177,1)="",INDEX(OHZ_HAZ_TOTUNIT,177,1)="",),FALSE,TRUE),TRUE)</f>
        <v>1</v>
      </c>
      <c r="K434" t="str">
        <f t="shared" si="13"/>
        <v xml:space="preserve">Row 177 - If ‘Total amount’ is given, then ‘Net / Gross’ and ‘Total amount unit’ are required </v>
      </c>
      <c r="L434" t="s">
        <v>1391</v>
      </c>
    </row>
    <row r="435" spans="7:12" x14ac:dyDescent="0.25">
      <c r="G435" t="b">
        <f>IF(OR(INDEX(IHZ_HAZ_TOTAMOUNT,178,1)&lt;&gt;"",),IF(OR(INDEX(IHZ_HAZ_TOTNETGROSS,178,1)="",INDEX(IHZ_HAZ_TOTUNIT,178,1)="",),FALSE,TRUE),TRUE)</f>
        <v>1</v>
      </c>
      <c r="H435" t="str">
        <f t="shared" si="12"/>
        <v xml:space="preserve">Row 178 - If ‘Total amount’ is given, then ‘Net / Gross’ and ‘Total amount unit’ are required </v>
      </c>
      <c r="I435" t="s">
        <v>1391</v>
      </c>
      <c r="J435" t="b">
        <f>IF(OR(INDEX(OHZ_HAZ_TOTAMOUNT,178,1)&lt;&gt;"",),IF(OR(INDEX(OHZ_HAZ_TOTNETGROSS,178,1)="",INDEX(OHZ_HAZ_TOTUNIT,178,1)="",),FALSE,TRUE),TRUE)</f>
        <v>1</v>
      </c>
      <c r="K435" t="str">
        <f t="shared" si="13"/>
        <v xml:space="preserve">Row 178 - If ‘Total amount’ is given, then ‘Net / Gross’ and ‘Total amount unit’ are required </v>
      </c>
      <c r="L435" t="s">
        <v>1391</v>
      </c>
    </row>
    <row r="436" spans="7:12" x14ac:dyDescent="0.25">
      <c r="G436" t="b">
        <f>IF(OR(INDEX(IHZ_HAZ_TOTAMOUNT,179,1)&lt;&gt;"",),IF(OR(INDEX(IHZ_HAZ_TOTNETGROSS,179,1)="",INDEX(IHZ_HAZ_TOTUNIT,179,1)="",),FALSE,TRUE),TRUE)</f>
        <v>1</v>
      </c>
      <c r="H436" t="str">
        <f t="shared" si="12"/>
        <v xml:space="preserve">Row 179 - If ‘Total amount’ is given, then ‘Net / Gross’ and ‘Total amount unit’ are required </v>
      </c>
      <c r="I436" t="s">
        <v>1391</v>
      </c>
      <c r="J436" t="b">
        <f>IF(OR(INDEX(OHZ_HAZ_TOTAMOUNT,179,1)&lt;&gt;"",),IF(OR(INDEX(OHZ_HAZ_TOTNETGROSS,179,1)="",INDEX(OHZ_HAZ_TOTUNIT,179,1)="",),FALSE,TRUE),TRUE)</f>
        <v>1</v>
      </c>
      <c r="K436" t="str">
        <f t="shared" si="13"/>
        <v xml:space="preserve">Row 179 - If ‘Total amount’ is given, then ‘Net / Gross’ and ‘Total amount unit’ are required </v>
      </c>
      <c r="L436" t="s">
        <v>1391</v>
      </c>
    </row>
    <row r="437" spans="7:12" x14ac:dyDescent="0.25">
      <c r="G437" t="b">
        <f>IF(OR(INDEX(IHZ_HAZ_TOTAMOUNT,180,1)&lt;&gt;"",),IF(OR(INDEX(IHZ_HAZ_TOTNETGROSS,180,1)="",INDEX(IHZ_HAZ_TOTUNIT,180,1)="",),FALSE,TRUE),TRUE)</f>
        <v>1</v>
      </c>
      <c r="H437" t="str">
        <f t="shared" si="12"/>
        <v xml:space="preserve">Row 180 - If ‘Total amount’ is given, then ‘Net / Gross’ and ‘Total amount unit’ are required </v>
      </c>
      <c r="I437" t="s">
        <v>1391</v>
      </c>
      <c r="J437" t="b">
        <f>IF(OR(INDEX(OHZ_HAZ_TOTAMOUNT,180,1)&lt;&gt;"",),IF(OR(INDEX(OHZ_HAZ_TOTNETGROSS,180,1)="",INDEX(OHZ_HAZ_TOTUNIT,180,1)="",),FALSE,TRUE),TRUE)</f>
        <v>1</v>
      </c>
      <c r="K437" t="str">
        <f t="shared" si="13"/>
        <v xml:space="preserve">Row 180 - If ‘Total amount’ is given, then ‘Net / Gross’ and ‘Total amount unit’ are required </v>
      </c>
      <c r="L437" t="s">
        <v>1391</v>
      </c>
    </row>
    <row r="438" spans="7:12" x14ac:dyDescent="0.25">
      <c r="G438" t="b">
        <f>IF(OR(INDEX(IHZ_HAZ_TOTAMOUNT,181,1)&lt;&gt;"",),IF(OR(INDEX(IHZ_HAZ_TOTNETGROSS,181,1)="",INDEX(IHZ_HAZ_TOTUNIT,181,1)="",),FALSE,TRUE),TRUE)</f>
        <v>1</v>
      </c>
      <c r="H438" t="str">
        <f t="shared" si="12"/>
        <v xml:space="preserve">Row 181 - If ‘Total amount’ is given, then ‘Net / Gross’ and ‘Total amount unit’ are required </v>
      </c>
      <c r="I438" t="s">
        <v>1391</v>
      </c>
      <c r="J438" t="b">
        <f>IF(OR(INDEX(OHZ_HAZ_TOTAMOUNT,181,1)&lt;&gt;"",),IF(OR(INDEX(OHZ_HAZ_TOTNETGROSS,181,1)="",INDEX(OHZ_HAZ_TOTUNIT,181,1)="",),FALSE,TRUE),TRUE)</f>
        <v>1</v>
      </c>
      <c r="K438" t="str">
        <f t="shared" si="13"/>
        <v xml:space="preserve">Row 181 - If ‘Total amount’ is given, then ‘Net / Gross’ and ‘Total amount unit’ are required </v>
      </c>
      <c r="L438" t="s">
        <v>1391</v>
      </c>
    </row>
    <row r="439" spans="7:12" x14ac:dyDescent="0.25">
      <c r="G439" t="b">
        <f>IF(OR(INDEX(IHZ_HAZ_TOTAMOUNT,182,1)&lt;&gt;"",),IF(OR(INDEX(IHZ_HAZ_TOTNETGROSS,182,1)="",INDEX(IHZ_HAZ_TOTUNIT,182,1)="",),FALSE,TRUE),TRUE)</f>
        <v>1</v>
      </c>
      <c r="H439" t="str">
        <f t="shared" si="12"/>
        <v xml:space="preserve">Row 182 - If ‘Total amount’ is given, then ‘Net / Gross’ and ‘Total amount unit’ are required </v>
      </c>
      <c r="I439" t="s">
        <v>1391</v>
      </c>
      <c r="J439" t="b">
        <f>IF(OR(INDEX(OHZ_HAZ_TOTAMOUNT,182,1)&lt;&gt;"",),IF(OR(INDEX(OHZ_HAZ_TOTNETGROSS,182,1)="",INDEX(OHZ_HAZ_TOTUNIT,182,1)="",),FALSE,TRUE),TRUE)</f>
        <v>1</v>
      </c>
      <c r="K439" t="str">
        <f t="shared" si="13"/>
        <v xml:space="preserve">Row 182 - If ‘Total amount’ is given, then ‘Net / Gross’ and ‘Total amount unit’ are required </v>
      </c>
      <c r="L439" t="s">
        <v>1391</v>
      </c>
    </row>
    <row r="440" spans="7:12" x14ac:dyDescent="0.25">
      <c r="G440" t="b">
        <f>IF(OR(INDEX(IHZ_HAZ_TOTAMOUNT,183,1)&lt;&gt;"",),IF(OR(INDEX(IHZ_HAZ_TOTNETGROSS,183,1)="",INDEX(IHZ_HAZ_TOTUNIT,183,1)="",),FALSE,TRUE),TRUE)</f>
        <v>1</v>
      </c>
      <c r="H440" t="str">
        <f t="shared" si="12"/>
        <v xml:space="preserve">Row 183 - If ‘Total amount’ is given, then ‘Net / Gross’ and ‘Total amount unit’ are required </v>
      </c>
      <c r="I440" t="s">
        <v>1391</v>
      </c>
      <c r="J440" t="b">
        <f>IF(OR(INDEX(OHZ_HAZ_TOTAMOUNT,183,1)&lt;&gt;"",),IF(OR(INDEX(OHZ_HAZ_TOTNETGROSS,183,1)="",INDEX(OHZ_HAZ_TOTUNIT,183,1)="",),FALSE,TRUE),TRUE)</f>
        <v>1</v>
      </c>
      <c r="K440" t="str">
        <f t="shared" si="13"/>
        <v xml:space="preserve">Row 183 - If ‘Total amount’ is given, then ‘Net / Gross’ and ‘Total amount unit’ are required </v>
      </c>
      <c r="L440" t="s">
        <v>1391</v>
      </c>
    </row>
    <row r="441" spans="7:12" x14ac:dyDescent="0.25">
      <c r="G441" t="b">
        <f>IF(OR(INDEX(IHZ_HAZ_TOTAMOUNT,184,1)&lt;&gt;"",),IF(OR(INDEX(IHZ_HAZ_TOTNETGROSS,184,1)="",INDEX(IHZ_HAZ_TOTUNIT,184,1)="",),FALSE,TRUE),TRUE)</f>
        <v>1</v>
      </c>
      <c r="H441" t="str">
        <f t="shared" si="12"/>
        <v xml:space="preserve">Row 184 - If ‘Total amount’ is given, then ‘Net / Gross’ and ‘Total amount unit’ are required </v>
      </c>
      <c r="I441" t="s">
        <v>1391</v>
      </c>
      <c r="J441" t="b">
        <f>IF(OR(INDEX(OHZ_HAZ_TOTAMOUNT,184,1)&lt;&gt;"",),IF(OR(INDEX(OHZ_HAZ_TOTNETGROSS,184,1)="",INDEX(OHZ_HAZ_TOTUNIT,184,1)="",),FALSE,TRUE),TRUE)</f>
        <v>1</v>
      </c>
      <c r="K441" t="str">
        <f t="shared" si="13"/>
        <v xml:space="preserve">Row 184 - If ‘Total amount’ is given, then ‘Net / Gross’ and ‘Total amount unit’ are required </v>
      </c>
      <c r="L441" t="s">
        <v>1391</v>
      </c>
    </row>
    <row r="442" spans="7:12" x14ac:dyDescent="0.25">
      <c r="G442" t="b">
        <f>IF(OR(INDEX(IHZ_HAZ_TOTAMOUNT,185,1)&lt;&gt;"",),IF(OR(INDEX(IHZ_HAZ_TOTNETGROSS,185,1)="",INDEX(IHZ_HAZ_TOTUNIT,185,1)="",),FALSE,TRUE),TRUE)</f>
        <v>1</v>
      </c>
      <c r="H442" t="str">
        <f t="shared" si="12"/>
        <v xml:space="preserve">Row 185 - If ‘Total amount’ is given, then ‘Net / Gross’ and ‘Total amount unit’ are required </v>
      </c>
      <c r="I442" t="s">
        <v>1391</v>
      </c>
      <c r="J442" t="b">
        <f>IF(OR(INDEX(OHZ_HAZ_TOTAMOUNT,185,1)&lt;&gt;"",),IF(OR(INDEX(OHZ_HAZ_TOTNETGROSS,185,1)="",INDEX(OHZ_HAZ_TOTUNIT,185,1)="",),FALSE,TRUE),TRUE)</f>
        <v>1</v>
      </c>
      <c r="K442" t="str">
        <f t="shared" si="13"/>
        <v xml:space="preserve">Row 185 - If ‘Total amount’ is given, then ‘Net / Gross’ and ‘Total amount unit’ are required </v>
      </c>
      <c r="L442" t="s">
        <v>1391</v>
      </c>
    </row>
    <row r="443" spans="7:12" x14ac:dyDescent="0.25">
      <c r="G443" t="b">
        <f>IF(OR(INDEX(IHZ_HAZ_TOTAMOUNT,186,1)&lt;&gt;"",),IF(OR(INDEX(IHZ_HAZ_TOTNETGROSS,186,1)="",INDEX(IHZ_HAZ_TOTUNIT,186,1)="",),FALSE,TRUE),TRUE)</f>
        <v>1</v>
      </c>
      <c r="H443" t="str">
        <f t="shared" si="12"/>
        <v xml:space="preserve">Row 186 - If ‘Total amount’ is given, then ‘Net / Gross’ and ‘Total amount unit’ are required </v>
      </c>
      <c r="I443" t="s">
        <v>1391</v>
      </c>
      <c r="J443" t="b">
        <f>IF(OR(INDEX(OHZ_HAZ_TOTAMOUNT,186,1)&lt;&gt;"",),IF(OR(INDEX(OHZ_HAZ_TOTNETGROSS,186,1)="",INDEX(OHZ_HAZ_TOTUNIT,186,1)="",),FALSE,TRUE),TRUE)</f>
        <v>1</v>
      </c>
      <c r="K443" t="str">
        <f t="shared" si="13"/>
        <v xml:space="preserve">Row 186 - If ‘Total amount’ is given, then ‘Net / Gross’ and ‘Total amount unit’ are required </v>
      </c>
      <c r="L443" t="s">
        <v>1391</v>
      </c>
    </row>
    <row r="444" spans="7:12" x14ac:dyDescent="0.25">
      <c r="G444" t="b">
        <f>IF(OR(INDEX(IHZ_HAZ_TOTAMOUNT,187,1)&lt;&gt;"",),IF(OR(INDEX(IHZ_HAZ_TOTNETGROSS,187,1)="",INDEX(IHZ_HAZ_TOTUNIT,187,1)="",),FALSE,TRUE),TRUE)</f>
        <v>1</v>
      </c>
      <c r="H444" t="str">
        <f t="shared" si="12"/>
        <v xml:space="preserve">Row 187 - If ‘Total amount’ is given, then ‘Net / Gross’ and ‘Total amount unit’ are required </v>
      </c>
      <c r="I444" t="s">
        <v>1391</v>
      </c>
      <c r="J444" t="b">
        <f>IF(OR(INDEX(OHZ_HAZ_TOTAMOUNT,187,1)&lt;&gt;"",),IF(OR(INDEX(OHZ_HAZ_TOTNETGROSS,187,1)="",INDEX(OHZ_HAZ_TOTUNIT,187,1)="",),FALSE,TRUE),TRUE)</f>
        <v>1</v>
      </c>
      <c r="K444" t="str">
        <f t="shared" si="13"/>
        <v xml:space="preserve">Row 187 - If ‘Total amount’ is given, then ‘Net / Gross’ and ‘Total amount unit’ are required </v>
      </c>
      <c r="L444" t="s">
        <v>1391</v>
      </c>
    </row>
    <row r="445" spans="7:12" x14ac:dyDescent="0.25">
      <c r="G445" t="b">
        <f>IF(OR(INDEX(IHZ_HAZ_TOTAMOUNT,188,1)&lt;&gt;"",),IF(OR(INDEX(IHZ_HAZ_TOTNETGROSS,188,1)="",INDEX(IHZ_HAZ_TOTUNIT,188,1)="",),FALSE,TRUE),TRUE)</f>
        <v>1</v>
      </c>
      <c r="H445" t="str">
        <f t="shared" si="12"/>
        <v xml:space="preserve">Row 188 - If ‘Total amount’ is given, then ‘Net / Gross’ and ‘Total amount unit’ are required </v>
      </c>
      <c r="I445" t="s">
        <v>1391</v>
      </c>
      <c r="J445" t="b">
        <f>IF(OR(INDEX(OHZ_HAZ_TOTAMOUNT,188,1)&lt;&gt;"",),IF(OR(INDEX(OHZ_HAZ_TOTNETGROSS,188,1)="",INDEX(OHZ_HAZ_TOTUNIT,188,1)="",),FALSE,TRUE),TRUE)</f>
        <v>1</v>
      </c>
      <c r="K445" t="str">
        <f t="shared" si="13"/>
        <v xml:space="preserve">Row 188 - If ‘Total amount’ is given, then ‘Net / Gross’ and ‘Total amount unit’ are required </v>
      </c>
      <c r="L445" t="s">
        <v>1391</v>
      </c>
    </row>
    <row r="446" spans="7:12" x14ac:dyDescent="0.25">
      <c r="G446" t="b">
        <f>IF(OR(INDEX(IHZ_HAZ_TOTAMOUNT,189,1)&lt;&gt;"",),IF(OR(INDEX(IHZ_HAZ_TOTNETGROSS,189,1)="",INDEX(IHZ_HAZ_TOTUNIT,189,1)="",),FALSE,TRUE),TRUE)</f>
        <v>1</v>
      </c>
      <c r="H446" t="str">
        <f t="shared" si="12"/>
        <v xml:space="preserve">Row 189 - If ‘Total amount’ is given, then ‘Net / Gross’ and ‘Total amount unit’ are required </v>
      </c>
      <c r="I446" t="s">
        <v>1391</v>
      </c>
      <c r="J446" t="b">
        <f>IF(OR(INDEX(OHZ_HAZ_TOTAMOUNT,189,1)&lt;&gt;"",),IF(OR(INDEX(OHZ_HAZ_TOTNETGROSS,189,1)="",INDEX(OHZ_HAZ_TOTUNIT,189,1)="",),FALSE,TRUE),TRUE)</f>
        <v>1</v>
      </c>
      <c r="K446" t="str">
        <f t="shared" si="13"/>
        <v xml:space="preserve">Row 189 - If ‘Total amount’ is given, then ‘Net / Gross’ and ‘Total amount unit’ are required </v>
      </c>
      <c r="L446" t="s">
        <v>1391</v>
      </c>
    </row>
    <row r="447" spans="7:12" x14ac:dyDescent="0.25">
      <c r="G447" t="b">
        <f>IF(OR(INDEX(IHZ_HAZ_TOTAMOUNT,190,1)&lt;&gt;"",),IF(OR(INDEX(IHZ_HAZ_TOTNETGROSS,190,1)="",INDEX(IHZ_HAZ_TOTUNIT,190,1)="",),FALSE,TRUE),TRUE)</f>
        <v>1</v>
      </c>
      <c r="H447" t="str">
        <f t="shared" si="12"/>
        <v xml:space="preserve">Row 190 - If ‘Total amount’ is given, then ‘Net / Gross’ and ‘Total amount unit’ are required </v>
      </c>
      <c r="I447" t="s">
        <v>1391</v>
      </c>
      <c r="J447" t="b">
        <f>IF(OR(INDEX(OHZ_HAZ_TOTAMOUNT,190,1)&lt;&gt;"",),IF(OR(INDEX(OHZ_HAZ_TOTNETGROSS,190,1)="",INDEX(OHZ_HAZ_TOTUNIT,190,1)="",),FALSE,TRUE),TRUE)</f>
        <v>1</v>
      </c>
      <c r="K447" t="str">
        <f t="shared" si="13"/>
        <v xml:space="preserve">Row 190 - If ‘Total amount’ is given, then ‘Net / Gross’ and ‘Total amount unit’ are required </v>
      </c>
      <c r="L447" t="s">
        <v>1391</v>
      </c>
    </row>
    <row r="448" spans="7:12" x14ac:dyDescent="0.25">
      <c r="G448" t="b">
        <f>IF(OR(INDEX(IHZ_HAZ_TOTAMOUNT,191,1)&lt;&gt;"",),IF(OR(INDEX(IHZ_HAZ_TOTNETGROSS,191,1)="",INDEX(IHZ_HAZ_TOTUNIT,191,1)="",),FALSE,TRUE),TRUE)</f>
        <v>1</v>
      </c>
      <c r="H448" t="str">
        <f t="shared" si="12"/>
        <v xml:space="preserve">Row 191 - If ‘Total amount’ is given, then ‘Net / Gross’ and ‘Total amount unit’ are required </v>
      </c>
      <c r="I448" t="s">
        <v>1391</v>
      </c>
      <c r="J448" t="b">
        <f>IF(OR(INDEX(OHZ_HAZ_TOTAMOUNT,191,1)&lt;&gt;"",),IF(OR(INDEX(OHZ_HAZ_TOTNETGROSS,191,1)="",INDEX(OHZ_HAZ_TOTUNIT,191,1)="",),FALSE,TRUE),TRUE)</f>
        <v>1</v>
      </c>
      <c r="K448" t="str">
        <f t="shared" si="13"/>
        <v xml:space="preserve">Row 191 - If ‘Total amount’ is given, then ‘Net / Gross’ and ‘Total amount unit’ are required </v>
      </c>
      <c r="L448" t="s">
        <v>1391</v>
      </c>
    </row>
    <row r="449" spans="7:12" x14ac:dyDescent="0.25">
      <c r="G449" t="b">
        <f>IF(OR(INDEX(IHZ_HAZ_TOTAMOUNT,192,1)&lt;&gt;"",),IF(OR(INDEX(IHZ_HAZ_TOTNETGROSS,192,1)="",INDEX(IHZ_HAZ_TOTUNIT,192,1)="",),FALSE,TRUE),TRUE)</f>
        <v>1</v>
      </c>
      <c r="H449" t="str">
        <f t="shared" si="12"/>
        <v xml:space="preserve">Row 192 - If ‘Total amount’ is given, then ‘Net / Gross’ and ‘Total amount unit’ are required </v>
      </c>
      <c r="I449" t="s">
        <v>1391</v>
      </c>
      <c r="J449" t="b">
        <f>IF(OR(INDEX(OHZ_HAZ_TOTAMOUNT,192,1)&lt;&gt;"",),IF(OR(INDEX(OHZ_HAZ_TOTNETGROSS,192,1)="",INDEX(OHZ_HAZ_TOTUNIT,192,1)="",),FALSE,TRUE),TRUE)</f>
        <v>1</v>
      </c>
      <c r="K449" t="str">
        <f t="shared" si="13"/>
        <v xml:space="preserve">Row 192 - If ‘Total amount’ is given, then ‘Net / Gross’ and ‘Total amount unit’ are required </v>
      </c>
      <c r="L449" t="s">
        <v>1391</v>
      </c>
    </row>
    <row r="450" spans="7:12" x14ac:dyDescent="0.25">
      <c r="G450" t="b">
        <f>IF(OR(INDEX(IHZ_HAZ_TOTAMOUNT,193,1)&lt;&gt;"",),IF(OR(INDEX(IHZ_HAZ_TOTNETGROSS,193,1)="",INDEX(IHZ_HAZ_TOTUNIT,193,1)="",),FALSE,TRUE),TRUE)</f>
        <v>1</v>
      </c>
      <c r="H450" t="str">
        <f t="shared" si="12"/>
        <v xml:space="preserve">Row 193 - If ‘Total amount’ is given, then ‘Net / Gross’ and ‘Total amount unit’ are required </v>
      </c>
      <c r="I450" t="s">
        <v>1391</v>
      </c>
      <c r="J450" t="b">
        <f>IF(OR(INDEX(OHZ_HAZ_TOTAMOUNT,193,1)&lt;&gt;"",),IF(OR(INDEX(OHZ_HAZ_TOTNETGROSS,193,1)="",INDEX(OHZ_HAZ_TOTUNIT,193,1)="",),FALSE,TRUE),TRUE)</f>
        <v>1</v>
      </c>
      <c r="K450" t="str">
        <f t="shared" si="13"/>
        <v xml:space="preserve">Row 193 - If ‘Total amount’ is given, then ‘Net / Gross’ and ‘Total amount unit’ are required </v>
      </c>
      <c r="L450" t="s">
        <v>1391</v>
      </c>
    </row>
    <row r="451" spans="7:12" x14ac:dyDescent="0.25">
      <c r="G451" t="b">
        <f>IF(OR(INDEX(IHZ_HAZ_TOTAMOUNT,194,1)&lt;&gt;"",),IF(OR(INDEX(IHZ_HAZ_TOTNETGROSS,194,1)="",INDEX(IHZ_HAZ_TOTUNIT,194,1)="",),FALSE,TRUE),TRUE)</f>
        <v>1</v>
      </c>
      <c r="H451" t="str">
        <f t="shared" ref="H451:H507" si="14">T194&amp;$V$2</f>
        <v xml:space="preserve">Row 194 - If ‘Total amount’ is given, then ‘Net / Gross’ and ‘Total amount unit’ are required </v>
      </c>
      <c r="I451" t="s">
        <v>1391</v>
      </c>
      <c r="J451" t="b">
        <f>IF(OR(INDEX(OHZ_HAZ_TOTAMOUNT,194,1)&lt;&gt;"",),IF(OR(INDEX(OHZ_HAZ_TOTNETGROSS,194,1)="",INDEX(OHZ_HAZ_TOTUNIT,194,1)="",),FALSE,TRUE),TRUE)</f>
        <v>1</v>
      </c>
      <c r="K451" t="str">
        <f t="shared" ref="K451:K507" si="15">T194&amp;$V$2</f>
        <v xml:space="preserve">Row 194 - If ‘Total amount’ is given, then ‘Net / Gross’ and ‘Total amount unit’ are required </v>
      </c>
      <c r="L451" t="s">
        <v>1391</v>
      </c>
    </row>
    <row r="452" spans="7:12" x14ac:dyDescent="0.25">
      <c r="G452" t="b">
        <f>IF(OR(INDEX(IHZ_HAZ_TOTAMOUNT,195,1)&lt;&gt;"",),IF(OR(INDEX(IHZ_HAZ_TOTNETGROSS,195,1)="",INDEX(IHZ_HAZ_TOTUNIT,195,1)="",),FALSE,TRUE),TRUE)</f>
        <v>1</v>
      </c>
      <c r="H452" t="str">
        <f t="shared" si="14"/>
        <v xml:space="preserve">Row 195 - If ‘Total amount’ is given, then ‘Net / Gross’ and ‘Total amount unit’ are required </v>
      </c>
      <c r="I452" t="s">
        <v>1391</v>
      </c>
      <c r="J452" t="b">
        <f>IF(OR(INDEX(OHZ_HAZ_TOTAMOUNT,195,1)&lt;&gt;"",),IF(OR(INDEX(OHZ_HAZ_TOTNETGROSS,195,1)="",INDEX(OHZ_HAZ_TOTUNIT,195,1)="",),FALSE,TRUE),TRUE)</f>
        <v>1</v>
      </c>
      <c r="K452" t="str">
        <f t="shared" si="15"/>
        <v xml:space="preserve">Row 195 - If ‘Total amount’ is given, then ‘Net / Gross’ and ‘Total amount unit’ are required </v>
      </c>
      <c r="L452" t="s">
        <v>1391</v>
      </c>
    </row>
    <row r="453" spans="7:12" x14ac:dyDescent="0.25">
      <c r="G453" t="b">
        <f>IF(OR(INDEX(IHZ_HAZ_TOTAMOUNT,196,1)&lt;&gt;"",),IF(OR(INDEX(IHZ_HAZ_TOTNETGROSS,196,1)="",INDEX(IHZ_HAZ_TOTUNIT,196,1)="",),FALSE,TRUE),TRUE)</f>
        <v>1</v>
      </c>
      <c r="H453" t="str">
        <f t="shared" si="14"/>
        <v xml:space="preserve">Row 196 - If ‘Total amount’ is given, then ‘Net / Gross’ and ‘Total amount unit’ are required </v>
      </c>
      <c r="I453" t="s">
        <v>1391</v>
      </c>
      <c r="J453" t="b">
        <f>IF(OR(INDEX(OHZ_HAZ_TOTAMOUNT,196,1)&lt;&gt;"",),IF(OR(INDEX(OHZ_HAZ_TOTNETGROSS,196,1)="",INDEX(OHZ_HAZ_TOTUNIT,196,1)="",),FALSE,TRUE),TRUE)</f>
        <v>1</v>
      </c>
      <c r="K453" t="str">
        <f t="shared" si="15"/>
        <v xml:space="preserve">Row 196 - If ‘Total amount’ is given, then ‘Net / Gross’ and ‘Total amount unit’ are required </v>
      </c>
      <c r="L453" t="s">
        <v>1391</v>
      </c>
    </row>
    <row r="454" spans="7:12" x14ac:dyDescent="0.25">
      <c r="G454" t="b">
        <f>IF(OR(INDEX(IHZ_HAZ_TOTAMOUNT,197,1)&lt;&gt;"",),IF(OR(INDEX(IHZ_HAZ_TOTNETGROSS,197,1)="",INDEX(IHZ_HAZ_TOTUNIT,197,1)="",),FALSE,TRUE),TRUE)</f>
        <v>1</v>
      </c>
      <c r="H454" t="str">
        <f t="shared" si="14"/>
        <v xml:space="preserve">Row 197 - If ‘Total amount’ is given, then ‘Net / Gross’ and ‘Total amount unit’ are required </v>
      </c>
      <c r="I454" t="s">
        <v>1391</v>
      </c>
      <c r="J454" t="b">
        <f>IF(OR(INDEX(OHZ_HAZ_TOTAMOUNT,197,1)&lt;&gt;"",),IF(OR(INDEX(OHZ_HAZ_TOTNETGROSS,197,1)="",INDEX(OHZ_HAZ_TOTUNIT,197,1)="",),FALSE,TRUE),TRUE)</f>
        <v>1</v>
      </c>
      <c r="K454" t="str">
        <f t="shared" si="15"/>
        <v xml:space="preserve">Row 197 - If ‘Total amount’ is given, then ‘Net / Gross’ and ‘Total amount unit’ are required </v>
      </c>
      <c r="L454" t="s">
        <v>1391</v>
      </c>
    </row>
    <row r="455" spans="7:12" x14ac:dyDescent="0.25">
      <c r="G455" t="b">
        <f>IF(OR(INDEX(IHZ_HAZ_TOTAMOUNT,198,1)&lt;&gt;"",),IF(OR(INDEX(IHZ_HAZ_TOTNETGROSS,198,1)="",INDEX(IHZ_HAZ_TOTUNIT,198,1)="",),FALSE,TRUE),TRUE)</f>
        <v>1</v>
      </c>
      <c r="H455" t="str">
        <f t="shared" si="14"/>
        <v xml:space="preserve">Row 198 - If ‘Total amount’ is given, then ‘Net / Gross’ and ‘Total amount unit’ are required </v>
      </c>
      <c r="I455" t="s">
        <v>1391</v>
      </c>
      <c r="J455" t="b">
        <f>IF(OR(INDEX(OHZ_HAZ_TOTAMOUNT,198,1)&lt;&gt;"",),IF(OR(INDEX(OHZ_HAZ_TOTNETGROSS,198,1)="",INDEX(OHZ_HAZ_TOTUNIT,198,1)="",),FALSE,TRUE),TRUE)</f>
        <v>1</v>
      </c>
      <c r="K455" t="str">
        <f t="shared" si="15"/>
        <v xml:space="preserve">Row 198 - If ‘Total amount’ is given, then ‘Net / Gross’ and ‘Total amount unit’ are required </v>
      </c>
      <c r="L455" t="s">
        <v>1391</v>
      </c>
    </row>
    <row r="456" spans="7:12" x14ac:dyDescent="0.25">
      <c r="G456" t="b">
        <f>IF(OR(INDEX(IHZ_HAZ_TOTAMOUNT,199,1)&lt;&gt;"",),IF(OR(INDEX(IHZ_HAZ_TOTNETGROSS,199,1)="",INDEX(IHZ_HAZ_TOTUNIT,199,1)="",),FALSE,TRUE),TRUE)</f>
        <v>1</v>
      </c>
      <c r="H456" t="str">
        <f t="shared" si="14"/>
        <v xml:space="preserve">Row 199 - If ‘Total amount’ is given, then ‘Net / Gross’ and ‘Total amount unit’ are required </v>
      </c>
      <c r="I456" t="s">
        <v>1391</v>
      </c>
      <c r="J456" t="b">
        <f>IF(OR(INDEX(OHZ_HAZ_TOTAMOUNT,199,1)&lt;&gt;"",),IF(OR(INDEX(OHZ_HAZ_TOTNETGROSS,199,1)="",INDEX(OHZ_HAZ_TOTUNIT,199,1)="",),FALSE,TRUE),TRUE)</f>
        <v>1</v>
      </c>
      <c r="K456" t="str">
        <f t="shared" si="15"/>
        <v xml:space="preserve">Row 199 - If ‘Total amount’ is given, then ‘Net / Gross’ and ‘Total amount unit’ are required </v>
      </c>
      <c r="L456" t="s">
        <v>1391</v>
      </c>
    </row>
    <row r="457" spans="7:12" x14ac:dyDescent="0.25">
      <c r="G457" t="b">
        <f>IF(OR(INDEX(IHZ_HAZ_TOTAMOUNT,200,1)&lt;&gt;"",),IF(OR(INDEX(IHZ_HAZ_TOTNETGROSS,200,1)="",INDEX(IHZ_HAZ_TOTUNIT,200,1)="",),FALSE,TRUE),TRUE)</f>
        <v>1</v>
      </c>
      <c r="H457" t="str">
        <f t="shared" si="14"/>
        <v xml:space="preserve">Row 200 - If ‘Total amount’ is given, then ‘Net / Gross’ and ‘Total amount unit’ are required </v>
      </c>
      <c r="I457" t="s">
        <v>1391</v>
      </c>
      <c r="J457" t="b">
        <f>IF(OR(INDEX(OHZ_HAZ_TOTAMOUNT,200,1)&lt;&gt;"",),IF(OR(INDEX(OHZ_HAZ_TOTNETGROSS,200,1)="",INDEX(OHZ_HAZ_TOTUNIT,200,1)="",),FALSE,TRUE),TRUE)</f>
        <v>1</v>
      </c>
      <c r="K457" t="str">
        <f t="shared" si="15"/>
        <v xml:space="preserve">Row 200 - If ‘Total amount’ is given, then ‘Net / Gross’ and ‘Total amount unit’ are required </v>
      </c>
      <c r="L457" t="s">
        <v>1391</v>
      </c>
    </row>
    <row r="458" spans="7:12" x14ac:dyDescent="0.25">
      <c r="G458" t="b">
        <f>IF(OR(INDEX(IHZ_HAZ_TOTAMOUNT,201,1)&lt;&gt;"",),IF(OR(INDEX(IHZ_HAZ_TOTNETGROSS,201,1)="",INDEX(IHZ_HAZ_TOTUNIT,201,1)="",),FALSE,TRUE),TRUE)</f>
        <v>1</v>
      </c>
      <c r="H458" t="str">
        <f t="shared" si="14"/>
        <v xml:space="preserve">Row 201 - If ‘Total amount’ is given, then ‘Net / Gross’ and ‘Total amount unit’ are required </v>
      </c>
      <c r="I458" t="s">
        <v>1391</v>
      </c>
      <c r="J458" t="b">
        <f>IF(OR(INDEX(OHZ_HAZ_TOTAMOUNT,201,1)&lt;&gt;"",),IF(OR(INDEX(OHZ_HAZ_TOTNETGROSS,201,1)="",INDEX(OHZ_HAZ_TOTUNIT,201,1)="",),FALSE,TRUE),TRUE)</f>
        <v>1</v>
      </c>
      <c r="K458" t="str">
        <f t="shared" si="15"/>
        <v xml:space="preserve">Row 201 - If ‘Total amount’ is given, then ‘Net / Gross’ and ‘Total amount unit’ are required </v>
      </c>
      <c r="L458" t="s">
        <v>1391</v>
      </c>
    </row>
    <row r="459" spans="7:12" x14ac:dyDescent="0.25">
      <c r="G459" t="b">
        <f>IF(OR(INDEX(IHZ_HAZ_TOTAMOUNT,202,1)&lt;&gt;"",),IF(OR(INDEX(IHZ_HAZ_TOTNETGROSS,202,1)="",INDEX(IHZ_HAZ_TOTUNIT,202,1)="",),FALSE,TRUE),TRUE)</f>
        <v>1</v>
      </c>
      <c r="H459" t="str">
        <f t="shared" si="14"/>
        <v xml:space="preserve">Row 202 - If ‘Total amount’ is given, then ‘Net / Gross’ and ‘Total amount unit’ are required </v>
      </c>
      <c r="I459" t="s">
        <v>1391</v>
      </c>
      <c r="J459" t="b">
        <f>IF(OR(INDEX(OHZ_HAZ_TOTAMOUNT,202,1)&lt;&gt;"",),IF(OR(INDEX(OHZ_HAZ_TOTNETGROSS,202,1)="",INDEX(OHZ_HAZ_TOTUNIT,202,1)="",),FALSE,TRUE),TRUE)</f>
        <v>1</v>
      </c>
      <c r="K459" t="str">
        <f t="shared" si="15"/>
        <v xml:space="preserve">Row 202 - If ‘Total amount’ is given, then ‘Net / Gross’ and ‘Total amount unit’ are required </v>
      </c>
      <c r="L459" t="s">
        <v>1391</v>
      </c>
    </row>
    <row r="460" spans="7:12" x14ac:dyDescent="0.25">
      <c r="G460" t="b">
        <f>IF(OR(INDEX(IHZ_HAZ_TOTAMOUNT,203,1)&lt;&gt;"",),IF(OR(INDEX(IHZ_HAZ_TOTNETGROSS,203,1)="",INDEX(IHZ_HAZ_TOTUNIT,203,1)="",),FALSE,TRUE),TRUE)</f>
        <v>1</v>
      </c>
      <c r="H460" t="str">
        <f t="shared" si="14"/>
        <v xml:space="preserve">Row 203 - If ‘Total amount’ is given, then ‘Net / Gross’ and ‘Total amount unit’ are required </v>
      </c>
      <c r="I460" t="s">
        <v>1391</v>
      </c>
      <c r="J460" t="b">
        <f>IF(OR(INDEX(OHZ_HAZ_TOTAMOUNT,203,1)&lt;&gt;"",),IF(OR(INDEX(OHZ_HAZ_TOTNETGROSS,203,1)="",INDEX(OHZ_HAZ_TOTUNIT,203,1)="",),FALSE,TRUE),TRUE)</f>
        <v>1</v>
      </c>
      <c r="K460" t="str">
        <f t="shared" si="15"/>
        <v xml:space="preserve">Row 203 - If ‘Total amount’ is given, then ‘Net / Gross’ and ‘Total amount unit’ are required </v>
      </c>
      <c r="L460" t="s">
        <v>1391</v>
      </c>
    </row>
    <row r="461" spans="7:12" x14ac:dyDescent="0.25">
      <c r="G461" t="b">
        <f>IF(OR(INDEX(IHZ_HAZ_TOTAMOUNT,204,1)&lt;&gt;"",),IF(OR(INDEX(IHZ_HAZ_TOTNETGROSS,204,1)="",INDEX(IHZ_HAZ_TOTUNIT,204,1)="",),FALSE,TRUE),TRUE)</f>
        <v>1</v>
      </c>
      <c r="H461" t="str">
        <f t="shared" si="14"/>
        <v xml:space="preserve">Row 204 - If ‘Total amount’ is given, then ‘Net / Gross’ and ‘Total amount unit’ are required </v>
      </c>
      <c r="I461" t="s">
        <v>1391</v>
      </c>
      <c r="J461" t="b">
        <f>IF(OR(INDEX(OHZ_HAZ_TOTAMOUNT,204,1)&lt;&gt;"",),IF(OR(INDEX(OHZ_HAZ_TOTNETGROSS,204,1)="",INDEX(OHZ_HAZ_TOTUNIT,204,1)="",),FALSE,TRUE),TRUE)</f>
        <v>1</v>
      </c>
      <c r="K461" t="str">
        <f t="shared" si="15"/>
        <v xml:space="preserve">Row 204 - If ‘Total amount’ is given, then ‘Net / Gross’ and ‘Total amount unit’ are required </v>
      </c>
      <c r="L461" t="s">
        <v>1391</v>
      </c>
    </row>
    <row r="462" spans="7:12" x14ac:dyDescent="0.25">
      <c r="G462" t="b">
        <f>IF(OR(INDEX(IHZ_HAZ_TOTAMOUNT,205,1)&lt;&gt;"",),IF(OR(INDEX(IHZ_HAZ_TOTNETGROSS,205,1)="",INDEX(IHZ_HAZ_TOTUNIT,205,1)="",),FALSE,TRUE),TRUE)</f>
        <v>1</v>
      </c>
      <c r="H462" t="str">
        <f t="shared" si="14"/>
        <v xml:space="preserve">Row 205 - If ‘Total amount’ is given, then ‘Net / Gross’ and ‘Total amount unit’ are required </v>
      </c>
      <c r="I462" t="s">
        <v>1391</v>
      </c>
      <c r="J462" t="b">
        <f>IF(OR(INDEX(OHZ_HAZ_TOTAMOUNT,205,1)&lt;&gt;"",),IF(OR(INDEX(OHZ_HAZ_TOTNETGROSS,205,1)="",INDEX(OHZ_HAZ_TOTUNIT,205,1)="",),FALSE,TRUE),TRUE)</f>
        <v>1</v>
      </c>
      <c r="K462" t="str">
        <f t="shared" si="15"/>
        <v xml:space="preserve">Row 205 - If ‘Total amount’ is given, then ‘Net / Gross’ and ‘Total amount unit’ are required </v>
      </c>
      <c r="L462" t="s">
        <v>1391</v>
      </c>
    </row>
    <row r="463" spans="7:12" x14ac:dyDescent="0.25">
      <c r="G463" t="b">
        <f>IF(OR(INDEX(IHZ_HAZ_TOTAMOUNT,206,1)&lt;&gt;"",),IF(OR(INDEX(IHZ_HAZ_TOTNETGROSS,206,1)="",INDEX(IHZ_HAZ_TOTUNIT,206,1)="",),FALSE,TRUE),TRUE)</f>
        <v>1</v>
      </c>
      <c r="H463" t="str">
        <f t="shared" si="14"/>
        <v xml:space="preserve">Row 206 - If ‘Total amount’ is given, then ‘Net / Gross’ and ‘Total amount unit’ are required </v>
      </c>
      <c r="I463" t="s">
        <v>1391</v>
      </c>
      <c r="J463" t="b">
        <f>IF(OR(INDEX(OHZ_HAZ_TOTAMOUNT,206,1)&lt;&gt;"",),IF(OR(INDEX(OHZ_HAZ_TOTNETGROSS,206,1)="",INDEX(OHZ_HAZ_TOTUNIT,206,1)="",),FALSE,TRUE),TRUE)</f>
        <v>1</v>
      </c>
      <c r="K463" t="str">
        <f t="shared" si="15"/>
        <v xml:space="preserve">Row 206 - If ‘Total amount’ is given, then ‘Net / Gross’ and ‘Total amount unit’ are required </v>
      </c>
      <c r="L463" t="s">
        <v>1391</v>
      </c>
    </row>
    <row r="464" spans="7:12" x14ac:dyDescent="0.25">
      <c r="G464" t="b">
        <f>IF(OR(INDEX(IHZ_HAZ_TOTAMOUNT,207,1)&lt;&gt;"",),IF(OR(INDEX(IHZ_HAZ_TOTNETGROSS,207,1)="",INDEX(IHZ_HAZ_TOTUNIT,207,1)="",),FALSE,TRUE),TRUE)</f>
        <v>1</v>
      </c>
      <c r="H464" t="str">
        <f t="shared" si="14"/>
        <v xml:space="preserve">Row 207 - If ‘Total amount’ is given, then ‘Net / Gross’ and ‘Total amount unit’ are required </v>
      </c>
      <c r="I464" t="s">
        <v>1391</v>
      </c>
      <c r="J464" t="b">
        <f>IF(OR(INDEX(OHZ_HAZ_TOTAMOUNT,207,1)&lt;&gt;"",),IF(OR(INDEX(OHZ_HAZ_TOTNETGROSS,207,1)="",INDEX(OHZ_HAZ_TOTUNIT,207,1)="",),FALSE,TRUE),TRUE)</f>
        <v>1</v>
      </c>
      <c r="K464" t="str">
        <f t="shared" si="15"/>
        <v xml:space="preserve">Row 207 - If ‘Total amount’ is given, then ‘Net / Gross’ and ‘Total amount unit’ are required </v>
      </c>
      <c r="L464" t="s">
        <v>1391</v>
      </c>
    </row>
    <row r="465" spans="7:12" x14ac:dyDescent="0.25">
      <c r="G465" t="b">
        <f>IF(OR(INDEX(IHZ_HAZ_TOTAMOUNT,208,1)&lt;&gt;"",),IF(OR(INDEX(IHZ_HAZ_TOTNETGROSS,208,1)="",INDEX(IHZ_HAZ_TOTUNIT,208,1)="",),FALSE,TRUE),TRUE)</f>
        <v>1</v>
      </c>
      <c r="H465" t="str">
        <f t="shared" si="14"/>
        <v xml:space="preserve">Row 208 - If ‘Total amount’ is given, then ‘Net / Gross’ and ‘Total amount unit’ are required </v>
      </c>
      <c r="I465" t="s">
        <v>1391</v>
      </c>
      <c r="J465" t="b">
        <f>IF(OR(INDEX(OHZ_HAZ_TOTAMOUNT,208,1)&lt;&gt;"",),IF(OR(INDEX(OHZ_HAZ_TOTNETGROSS,208,1)="",INDEX(OHZ_HAZ_TOTUNIT,208,1)="",),FALSE,TRUE),TRUE)</f>
        <v>1</v>
      </c>
      <c r="K465" t="str">
        <f t="shared" si="15"/>
        <v xml:space="preserve">Row 208 - If ‘Total amount’ is given, then ‘Net / Gross’ and ‘Total amount unit’ are required </v>
      </c>
      <c r="L465" t="s">
        <v>1391</v>
      </c>
    </row>
    <row r="466" spans="7:12" x14ac:dyDescent="0.25">
      <c r="G466" t="b">
        <f>IF(OR(INDEX(IHZ_HAZ_TOTAMOUNT,209,1)&lt;&gt;"",),IF(OR(INDEX(IHZ_HAZ_TOTNETGROSS,209,1)="",INDEX(IHZ_HAZ_TOTUNIT,209,1)="",),FALSE,TRUE),TRUE)</f>
        <v>1</v>
      </c>
      <c r="H466" t="str">
        <f t="shared" si="14"/>
        <v xml:space="preserve">Row 209 - If ‘Total amount’ is given, then ‘Net / Gross’ and ‘Total amount unit’ are required </v>
      </c>
      <c r="I466" t="s">
        <v>1391</v>
      </c>
      <c r="J466" t="b">
        <f>IF(OR(INDEX(OHZ_HAZ_TOTAMOUNT,209,1)&lt;&gt;"",),IF(OR(INDEX(OHZ_HAZ_TOTNETGROSS,209,1)="",INDEX(OHZ_HAZ_TOTUNIT,209,1)="",),FALSE,TRUE),TRUE)</f>
        <v>1</v>
      </c>
      <c r="K466" t="str">
        <f t="shared" si="15"/>
        <v xml:space="preserve">Row 209 - If ‘Total amount’ is given, then ‘Net / Gross’ and ‘Total amount unit’ are required </v>
      </c>
      <c r="L466" t="s">
        <v>1391</v>
      </c>
    </row>
    <row r="467" spans="7:12" x14ac:dyDescent="0.25">
      <c r="G467" t="b">
        <f>IF(OR(INDEX(IHZ_HAZ_TOTAMOUNT,210,1)&lt;&gt;"",),IF(OR(INDEX(IHZ_HAZ_TOTNETGROSS,210,1)="",INDEX(IHZ_HAZ_TOTUNIT,210,1)="",),FALSE,TRUE),TRUE)</f>
        <v>1</v>
      </c>
      <c r="H467" t="str">
        <f t="shared" si="14"/>
        <v xml:space="preserve">Row 210 - If ‘Total amount’ is given, then ‘Net / Gross’ and ‘Total amount unit’ are required </v>
      </c>
      <c r="I467" t="s">
        <v>1391</v>
      </c>
      <c r="J467" t="b">
        <f>IF(OR(INDEX(OHZ_HAZ_TOTAMOUNT,210,1)&lt;&gt;"",),IF(OR(INDEX(OHZ_HAZ_TOTNETGROSS,210,1)="",INDEX(OHZ_HAZ_TOTUNIT,210,1)="",),FALSE,TRUE),TRUE)</f>
        <v>1</v>
      </c>
      <c r="K467" t="str">
        <f t="shared" si="15"/>
        <v xml:space="preserve">Row 210 - If ‘Total amount’ is given, then ‘Net / Gross’ and ‘Total amount unit’ are required </v>
      </c>
      <c r="L467" t="s">
        <v>1391</v>
      </c>
    </row>
    <row r="468" spans="7:12" x14ac:dyDescent="0.25">
      <c r="G468" t="b">
        <f>IF(OR(INDEX(IHZ_HAZ_TOTAMOUNT,211,1)&lt;&gt;"",),IF(OR(INDEX(IHZ_HAZ_TOTNETGROSS,211,1)="",INDEX(IHZ_HAZ_TOTUNIT,211,1)="",),FALSE,TRUE),TRUE)</f>
        <v>1</v>
      </c>
      <c r="H468" t="str">
        <f t="shared" si="14"/>
        <v xml:space="preserve">Row 211 - If ‘Total amount’ is given, then ‘Net / Gross’ and ‘Total amount unit’ are required </v>
      </c>
      <c r="I468" t="s">
        <v>1391</v>
      </c>
      <c r="J468" t="b">
        <f>IF(OR(INDEX(OHZ_HAZ_TOTAMOUNT,211,1)&lt;&gt;"",),IF(OR(INDEX(OHZ_HAZ_TOTNETGROSS,211,1)="",INDEX(OHZ_HAZ_TOTUNIT,211,1)="",),FALSE,TRUE),TRUE)</f>
        <v>1</v>
      </c>
      <c r="K468" t="str">
        <f t="shared" si="15"/>
        <v xml:space="preserve">Row 211 - If ‘Total amount’ is given, then ‘Net / Gross’ and ‘Total amount unit’ are required </v>
      </c>
      <c r="L468" t="s">
        <v>1391</v>
      </c>
    </row>
    <row r="469" spans="7:12" x14ac:dyDescent="0.25">
      <c r="G469" t="b">
        <f>IF(OR(INDEX(IHZ_HAZ_TOTAMOUNT,212,1)&lt;&gt;"",),IF(OR(INDEX(IHZ_HAZ_TOTNETGROSS,212,1)="",INDEX(IHZ_HAZ_TOTUNIT,212,1)="",),FALSE,TRUE),TRUE)</f>
        <v>1</v>
      </c>
      <c r="H469" t="str">
        <f t="shared" si="14"/>
        <v xml:space="preserve">Row 212 - If ‘Total amount’ is given, then ‘Net / Gross’ and ‘Total amount unit’ are required </v>
      </c>
      <c r="I469" t="s">
        <v>1391</v>
      </c>
      <c r="J469" t="b">
        <f>IF(OR(INDEX(OHZ_HAZ_TOTAMOUNT,212,1)&lt;&gt;"",),IF(OR(INDEX(OHZ_HAZ_TOTNETGROSS,212,1)="",INDEX(OHZ_HAZ_TOTUNIT,212,1)="",),FALSE,TRUE),TRUE)</f>
        <v>1</v>
      </c>
      <c r="K469" t="str">
        <f t="shared" si="15"/>
        <v xml:space="preserve">Row 212 - If ‘Total amount’ is given, then ‘Net / Gross’ and ‘Total amount unit’ are required </v>
      </c>
      <c r="L469" t="s">
        <v>1391</v>
      </c>
    </row>
    <row r="470" spans="7:12" x14ac:dyDescent="0.25">
      <c r="G470" t="b">
        <f>IF(OR(INDEX(IHZ_HAZ_TOTAMOUNT,213,1)&lt;&gt;"",),IF(OR(INDEX(IHZ_HAZ_TOTNETGROSS,213,1)="",INDEX(IHZ_HAZ_TOTUNIT,213,1)="",),FALSE,TRUE),TRUE)</f>
        <v>1</v>
      </c>
      <c r="H470" t="str">
        <f t="shared" si="14"/>
        <v xml:space="preserve">Row 213 - If ‘Total amount’ is given, then ‘Net / Gross’ and ‘Total amount unit’ are required </v>
      </c>
      <c r="I470" t="s">
        <v>1391</v>
      </c>
      <c r="J470" t="b">
        <f>IF(OR(INDEX(OHZ_HAZ_TOTAMOUNT,213,1)&lt;&gt;"",),IF(OR(INDEX(OHZ_HAZ_TOTNETGROSS,213,1)="",INDEX(OHZ_HAZ_TOTUNIT,213,1)="",),FALSE,TRUE),TRUE)</f>
        <v>1</v>
      </c>
      <c r="K470" t="str">
        <f t="shared" si="15"/>
        <v xml:space="preserve">Row 213 - If ‘Total amount’ is given, then ‘Net / Gross’ and ‘Total amount unit’ are required </v>
      </c>
      <c r="L470" t="s">
        <v>1391</v>
      </c>
    </row>
    <row r="471" spans="7:12" x14ac:dyDescent="0.25">
      <c r="G471" t="b">
        <f>IF(OR(INDEX(IHZ_HAZ_TOTAMOUNT,214,1)&lt;&gt;"",),IF(OR(INDEX(IHZ_HAZ_TOTNETGROSS,214,1)="",INDEX(IHZ_HAZ_TOTUNIT,214,1)="",),FALSE,TRUE),TRUE)</f>
        <v>1</v>
      </c>
      <c r="H471" t="str">
        <f t="shared" si="14"/>
        <v xml:space="preserve">Row 214 - If ‘Total amount’ is given, then ‘Net / Gross’ and ‘Total amount unit’ are required </v>
      </c>
      <c r="I471" t="s">
        <v>1391</v>
      </c>
      <c r="J471" t="b">
        <f>IF(OR(INDEX(OHZ_HAZ_TOTAMOUNT,214,1)&lt;&gt;"",),IF(OR(INDEX(OHZ_HAZ_TOTNETGROSS,214,1)="",INDEX(OHZ_HAZ_TOTUNIT,214,1)="",),FALSE,TRUE),TRUE)</f>
        <v>1</v>
      </c>
      <c r="K471" t="str">
        <f t="shared" si="15"/>
        <v xml:space="preserve">Row 214 - If ‘Total amount’ is given, then ‘Net / Gross’ and ‘Total amount unit’ are required </v>
      </c>
      <c r="L471" t="s">
        <v>1391</v>
      </c>
    </row>
    <row r="472" spans="7:12" x14ac:dyDescent="0.25">
      <c r="G472" t="b">
        <f>IF(OR(INDEX(IHZ_HAZ_TOTAMOUNT,215,1)&lt;&gt;"",),IF(OR(INDEX(IHZ_HAZ_TOTNETGROSS,215,1)="",INDEX(IHZ_HAZ_TOTUNIT,215,1)="",),FALSE,TRUE),TRUE)</f>
        <v>1</v>
      </c>
      <c r="H472" t="str">
        <f t="shared" si="14"/>
        <v xml:space="preserve">Row 215 - If ‘Total amount’ is given, then ‘Net / Gross’ and ‘Total amount unit’ are required </v>
      </c>
      <c r="I472" t="s">
        <v>1391</v>
      </c>
      <c r="J472" t="b">
        <f>IF(OR(INDEX(OHZ_HAZ_TOTAMOUNT,215,1)&lt;&gt;"",),IF(OR(INDEX(OHZ_HAZ_TOTNETGROSS,215,1)="",INDEX(OHZ_HAZ_TOTUNIT,215,1)="",),FALSE,TRUE),TRUE)</f>
        <v>1</v>
      </c>
      <c r="K472" t="str">
        <f t="shared" si="15"/>
        <v xml:space="preserve">Row 215 - If ‘Total amount’ is given, then ‘Net / Gross’ and ‘Total amount unit’ are required </v>
      </c>
      <c r="L472" t="s">
        <v>1391</v>
      </c>
    </row>
    <row r="473" spans="7:12" x14ac:dyDescent="0.25">
      <c r="G473" t="b">
        <f>IF(OR(INDEX(IHZ_HAZ_TOTAMOUNT,216,1)&lt;&gt;"",),IF(OR(INDEX(IHZ_HAZ_TOTNETGROSS,216,1)="",INDEX(IHZ_HAZ_TOTUNIT,216,1)="",),FALSE,TRUE),TRUE)</f>
        <v>1</v>
      </c>
      <c r="H473" t="str">
        <f t="shared" si="14"/>
        <v xml:space="preserve">Row 216 - If ‘Total amount’ is given, then ‘Net / Gross’ and ‘Total amount unit’ are required </v>
      </c>
      <c r="I473" t="s">
        <v>1391</v>
      </c>
      <c r="J473" t="b">
        <f>IF(OR(INDEX(OHZ_HAZ_TOTAMOUNT,216,1)&lt;&gt;"",),IF(OR(INDEX(OHZ_HAZ_TOTNETGROSS,216,1)="",INDEX(OHZ_HAZ_TOTUNIT,216,1)="",),FALSE,TRUE),TRUE)</f>
        <v>1</v>
      </c>
      <c r="K473" t="str">
        <f t="shared" si="15"/>
        <v xml:space="preserve">Row 216 - If ‘Total amount’ is given, then ‘Net / Gross’ and ‘Total amount unit’ are required </v>
      </c>
      <c r="L473" t="s">
        <v>1391</v>
      </c>
    </row>
    <row r="474" spans="7:12" x14ac:dyDescent="0.25">
      <c r="G474" t="b">
        <f>IF(OR(INDEX(IHZ_HAZ_TOTAMOUNT,217,1)&lt;&gt;"",),IF(OR(INDEX(IHZ_HAZ_TOTNETGROSS,217,1)="",INDEX(IHZ_HAZ_TOTUNIT,217,1)="",),FALSE,TRUE),TRUE)</f>
        <v>1</v>
      </c>
      <c r="H474" t="str">
        <f t="shared" si="14"/>
        <v xml:space="preserve">Row 217 - If ‘Total amount’ is given, then ‘Net / Gross’ and ‘Total amount unit’ are required </v>
      </c>
      <c r="I474" t="s">
        <v>1391</v>
      </c>
      <c r="J474" t="b">
        <f>IF(OR(INDEX(OHZ_HAZ_TOTAMOUNT,217,1)&lt;&gt;"",),IF(OR(INDEX(OHZ_HAZ_TOTNETGROSS,217,1)="",INDEX(OHZ_HAZ_TOTUNIT,217,1)="",),FALSE,TRUE),TRUE)</f>
        <v>1</v>
      </c>
      <c r="K474" t="str">
        <f t="shared" si="15"/>
        <v xml:space="preserve">Row 217 - If ‘Total amount’ is given, then ‘Net / Gross’ and ‘Total amount unit’ are required </v>
      </c>
      <c r="L474" t="s">
        <v>1391</v>
      </c>
    </row>
    <row r="475" spans="7:12" x14ac:dyDescent="0.25">
      <c r="G475" t="b">
        <f>IF(OR(INDEX(IHZ_HAZ_TOTAMOUNT,218,1)&lt;&gt;"",),IF(OR(INDEX(IHZ_HAZ_TOTNETGROSS,218,1)="",INDEX(IHZ_HAZ_TOTUNIT,218,1)="",),FALSE,TRUE),TRUE)</f>
        <v>1</v>
      </c>
      <c r="H475" t="str">
        <f t="shared" si="14"/>
        <v xml:space="preserve">Row 218 - If ‘Total amount’ is given, then ‘Net / Gross’ and ‘Total amount unit’ are required </v>
      </c>
      <c r="I475" t="s">
        <v>1391</v>
      </c>
      <c r="J475" t="b">
        <f>IF(OR(INDEX(OHZ_HAZ_TOTAMOUNT,218,1)&lt;&gt;"",),IF(OR(INDEX(OHZ_HAZ_TOTNETGROSS,218,1)="",INDEX(OHZ_HAZ_TOTUNIT,218,1)="",),FALSE,TRUE),TRUE)</f>
        <v>1</v>
      </c>
      <c r="K475" t="str">
        <f t="shared" si="15"/>
        <v xml:space="preserve">Row 218 - If ‘Total amount’ is given, then ‘Net / Gross’ and ‘Total amount unit’ are required </v>
      </c>
      <c r="L475" t="s">
        <v>1391</v>
      </c>
    </row>
    <row r="476" spans="7:12" x14ac:dyDescent="0.25">
      <c r="G476" t="b">
        <f>IF(OR(INDEX(IHZ_HAZ_TOTAMOUNT,219,1)&lt;&gt;"",),IF(OR(INDEX(IHZ_HAZ_TOTNETGROSS,219,1)="",INDEX(IHZ_HAZ_TOTUNIT,219,1)="",),FALSE,TRUE),TRUE)</f>
        <v>1</v>
      </c>
      <c r="H476" t="str">
        <f t="shared" si="14"/>
        <v xml:space="preserve">Row 219 - If ‘Total amount’ is given, then ‘Net / Gross’ and ‘Total amount unit’ are required </v>
      </c>
      <c r="I476" t="s">
        <v>1391</v>
      </c>
      <c r="J476" t="b">
        <f>IF(OR(INDEX(OHZ_HAZ_TOTAMOUNT,219,1)&lt;&gt;"",),IF(OR(INDEX(OHZ_HAZ_TOTNETGROSS,219,1)="",INDEX(OHZ_HAZ_TOTUNIT,219,1)="",),FALSE,TRUE),TRUE)</f>
        <v>1</v>
      </c>
      <c r="K476" t="str">
        <f t="shared" si="15"/>
        <v xml:space="preserve">Row 219 - If ‘Total amount’ is given, then ‘Net / Gross’ and ‘Total amount unit’ are required </v>
      </c>
      <c r="L476" t="s">
        <v>1391</v>
      </c>
    </row>
    <row r="477" spans="7:12" x14ac:dyDescent="0.25">
      <c r="G477" t="b">
        <f>IF(OR(INDEX(IHZ_HAZ_TOTAMOUNT,220,1)&lt;&gt;"",),IF(OR(INDEX(IHZ_HAZ_TOTNETGROSS,220,1)="",INDEX(IHZ_HAZ_TOTUNIT,220,1)="",),FALSE,TRUE),TRUE)</f>
        <v>1</v>
      </c>
      <c r="H477" t="str">
        <f t="shared" si="14"/>
        <v xml:space="preserve">Row 220 - If ‘Total amount’ is given, then ‘Net / Gross’ and ‘Total amount unit’ are required </v>
      </c>
      <c r="I477" t="s">
        <v>1391</v>
      </c>
      <c r="J477" t="b">
        <f>IF(OR(INDEX(OHZ_HAZ_TOTAMOUNT,220,1)&lt;&gt;"",),IF(OR(INDEX(OHZ_HAZ_TOTNETGROSS,220,1)="",INDEX(OHZ_HAZ_TOTUNIT,220,1)="",),FALSE,TRUE),TRUE)</f>
        <v>1</v>
      </c>
      <c r="K477" t="str">
        <f t="shared" si="15"/>
        <v xml:space="preserve">Row 220 - If ‘Total amount’ is given, then ‘Net / Gross’ and ‘Total amount unit’ are required </v>
      </c>
      <c r="L477" t="s">
        <v>1391</v>
      </c>
    </row>
    <row r="478" spans="7:12" x14ac:dyDescent="0.25">
      <c r="G478" t="b">
        <f>IF(OR(INDEX(IHZ_HAZ_TOTAMOUNT,221,1)&lt;&gt;"",),IF(OR(INDEX(IHZ_HAZ_TOTNETGROSS,221,1)="",INDEX(IHZ_HAZ_TOTUNIT,221,1)="",),FALSE,TRUE),TRUE)</f>
        <v>1</v>
      </c>
      <c r="H478" t="str">
        <f t="shared" si="14"/>
        <v xml:space="preserve">Row 221 - If ‘Total amount’ is given, then ‘Net / Gross’ and ‘Total amount unit’ are required </v>
      </c>
      <c r="I478" t="s">
        <v>1391</v>
      </c>
      <c r="J478" t="b">
        <f>IF(OR(INDEX(OHZ_HAZ_TOTAMOUNT,221,1)&lt;&gt;"",),IF(OR(INDEX(OHZ_HAZ_TOTNETGROSS,221,1)="",INDEX(OHZ_HAZ_TOTUNIT,221,1)="",),FALSE,TRUE),TRUE)</f>
        <v>1</v>
      </c>
      <c r="K478" t="str">
        <f t="shared" si="15"/>
        <v xml:space="preserve">Row 221 - If ‘Total amount’ is given, then ‘Net / Gross’ and ‘Total amount unit’ are required </v>
      </c>
      <c r="L478" t="s">
        <v>1391</v>
      </c>
    </row>
    <row r="479" spans="7:12" x14ac:dyDescent="0.25">
      <c r="G479" t="b">
        <f>IF(OR(INDEX(IHZ_HAZ_TOTAMOUNT,222,1)&lt;&gt;"",),IF(OR(INDEX(IHZ_HAZ_TOTNETGROSS,222,1)="",INDEX(IHZ_HAZ_TOTUNIT,222,1)="",),FALSE,TRUE),TRUE)</f>
        <v>1</v>
      </c>
      <c r="H479" t="str">
        <f t="shared" si="14"/>
        <v xml:space="preserve">Row 222 - If ‘Total amount’ is given, then ‘Net / Gross’ and ‘Total amount unit’ are required </v>
      </c>
      <c r="I479" t="s">
        <v>1391</v>
      </c>
      <c r="J479" t="b">
        <f>IF(OR(INDEX(OHZ_HAZ_TOTAMOUNT,222,1)&lt;&gt;"",),IF(OR(INDEX(OHZ_HAZ_TOTNETGROSS,222,1)="",INDEX(OHZ_HAZ_TOTUNIT,222,1)="",),FALSE,TRUE),TRUE)</f>
        <v>1</v>
      </c>
      <c r="K479" t="str">
        <f t="shared" si="15"/>
        <v xml:space="preserve">Row 222 - If ‘Total amount’ is given, then ‘Net / Gross’ and ‘Total amount unit’ are required </v>
      </c>
      <c r="L479" t="s">
        <v>1391</v>
      </c>
    </row>
    <row r="480" spans="7:12" x14ac:dyDescent="0.25">
      <c r="G480" t="b">
        <f>IF(OR(INDEX(IHZ_HAZ_TOTAMOUNT,223,1)&lt;&gt;"",),IF(OR(INDEX(IHZ_HAZ_TOTNETGROSS,223,1)="",INDEX(IHZ_HAZ_TOTUNIT,223,1)="",),FALSE,TRUE),TRUE)</f>
        <v>1</v>
      </c>
      <c r="H480" t="str">
        <f t="shared" si="14"/>
        <v xml:space="preserve">Row 223 - If ‘Total amount’ is given, then ‘Net / Gross’ and ‘Total amount unit’ are required </v>
      </c>
      <c r="I480" t="s">
        <v>1391</v>
      </c>
      <c r="J480" t="b">
        <f>IF(OR(INDEX(OHZ_HAZ_TOTAMOUNT,223,1)&lt;&gt;"",),IF(OR(INDEX(OHZ_HAZ_TOTNETGROSS,223,1)="",INDEX(OHZ_HAZ_TOTUNIT,223,1)="",),FALSE,TRUE),TRUE)</f>
        <v>1</v>
      </c>
      <c r="K480" t="str">
        <f t="shared" si="15"/>
        <v xml:space="preserve">Row 223 - If ‘Total amount’ is given, then ‘Net / Gross’ and ‘Total amount unit’ are required </v>
      </c>
      <c r="L480" t="s">
        <v>1391</v>
      </c>
    </row>
    <row r="481" spans="7:12" x14ac:dyDescent="0.25">
      <c r="G481" t="b">
        <f>IF(OR(INDEX(IHZ_HAZ_TOTAMOUNT,224,1)&lt;&gt;"",),IF(OR(INDEX(IHZ_HAZ_TOTNETGROSS,224,1)="",INDEX(IHZ_HAZ_TOTUNIT,224,1)="",),FALSE,TRUE),TRUE)</f>
        <v>1</v>
      </c>
      <c r="H481" t="str">
        <f t="shared" si="14"/>
        <v xml:space="preserve">Row 224 - If ‘Total amount’ is given, then ‘Net / Gross’ and ‘Total amount unit’ are required </v>
      </c>
      <c r="I481" t="s">
        <v>1391</v>
      </c>
      <c r="J481" t="b">
        <f>IF(OR(INDEX(OHZ_HAZ_TOTAMOUNT,224,1)&lt;&gt;"",),IF(OR(INDEX(OHZ_HAZ_TOTNETGROSS,224,1)="",INDEX(OHZ_HAZ_TOTUNIT,224,1)="",),FALSE,TRUE),TRUE)</f>
        <v>1</v>
      </c>
      <c r="K481" t="str">
        <f t="shared" si="15"/>
        <v xml:space="preserve">Row 224 - If ‘Total amount’ is given, then ‘Net / Gross’ and ‘Total amount unit’ are required </v>
      </c>
      <c r="L481" t="s">
        <v>1391</v>
      </c>
    </row>
    <row r="482" spans="7:12" x14ac:dyDescent="0.25">
      <c r="G482" t="b">
        <f>IF(OR(INDEX(IHZ_HAZ_TOTAMOUNT,225,1)&lt;&gt;"",),IF(OR(INDEX(IHZ_HAZ_TOTNETGROSS,225,1)="",INDEX(IHZ_HAZ_TOTUNIT,225,1)="",),FALSE,TRUE),TRUE)</f>
        <v>1</v>
      </c>
      <c r="H482" t="str">
        <f t="shared" si="14"/>
        <v xml:space="preserve">Row 225 - If ‘Total amount’ is given, then ‘Net / Gross’ and ‘Total amount unit’ are required </v>
      </c>
      <c r="I482" t="s">
        <v>1391</v>
      </c>
      <c r="J482" t="b">
        <f>IF(OR(INDEX(OHZ_HAZ_TOTAMOUNT,225,1)&lt;&gt;"",),IF(OR(INDEX(OHZ_HAZ_TOTNETGROSS,225,1)="",INDEX(OHZ_HAZ_TOTUNIT,225,1)="",),FALSE,TRUE),TRUE)</f>
        <v>1</v>
      </c>
      <c r="K482" t="str">
        <f t="shared" si="15"/>
        <v xml:space="preserve">Row 225 - If ‘Total amount’ is given, then ‘Net / Gross’ and ‘Total amount unit’ are required </v>
      </c>
      <c r="L482" t="s">
        <v>1391</v>
      </c>
    </row>
    <row r="483" spans="7:12" x14ac:dyDescent="0.25">
      <c r="G483" t="b">
        <f>IF(OR(INDEX(IHZ_HAZ_TOTAMOUNT,226,1)&lt;&gt;"",),IF(OR(INDEX(IHZ_HAZ_TOTNETGROSS,226,1)="",INDEX(IHZ_HAZ_TOTUNIT,226,1)="",),FALSE,TRUE),TRUE)</f>
        <v>1</v>
      </c>
      <c r="H483" t="str">
        <f t="shared" si="14"/>
        <v xml:space="preserve">Row 226 - If ‘Total amount’ is given, then ‘Net / Gross’ and ‘Total amount unit’ are required </v>
      </c>
      <c r="I483" t="s">
        <v>1391</v>
      </c>
      <c r="J483" t="b">
        <f>IF(OR(INDEX(OHZ_HAZ_TOTAMOUNT,226,1)&lt;&gt;"",),IF(OR(INDEX(OHZ_HAZ_TOTNETGROSS,226,1)="",INDEX(OHZ_HAZ_TOTUNIT,226,1)="",),FALSE,TRUE),TRUE)</f>
        <v>1</v>
      </c>
      <c r="K483" t="str">
        <f t="shared" si="15"/>
        <v xml:space="preserve">Row 226 - If ‘Total amount’ is given, then ‘Net / Gross’ and ‘Total amount unit’ are required </v>
      </c>
      <c r="L483" t="s">
        <v>1391</v>
      </c>
    </row>
    <row r="484" spans="7:12" x14ac:dyDescent="0.25">
      <c r="G484" t="b">
        <f>IF(OR(INDEX(IHZ_HAZ_TOTAMOUNT,227,1)&lt;&gt;"",),IF(OR(INDEX(IHZ_HAZ_TOTNETGROSS,227,1)="",INDEX(IHZ_HAZ_TOTUNIT,227,1)="",),FALSE,TRUE),TRUE)</f>
        <v>1</v>
      </c>
      <c r="H484" t="str">
        <f t="shared" si="14"/>
        <v xml:space="preserve">Row 227 - If ‘Total amount’ is given, then ‘Net / Gross’ and ‘Total amount unit’ are required </v>
      </c>
      <c r="I484" t="s">
        <v>1391</v>
      </c>
      <c r="J484" t="b">
        <f>IF(OR(INDEX(OHZ_HAZ_TOTAMOUNT,227,1)&lt;&gt;"",),IF(OR(INDEX(OHZ_HAZ_TOTNETGROSS,227,1)="",INDEX(OHZ_HAZ_TOTUNIT,227,1)="",),FALSE,TRUE),TRUE)</f>
        <v>1</v>
      </c>
      <c r="K484" t="str">
        <f t="shared" si="15"/>
        <v xml:space="preserve">Row 227 - If ‘Total amount’ is given, then ‘Net / Gross’ and ‘Total amount unit’ are required </v>
      </c>
      <c r="L484" t="s">
        <v>1391</v>
      </c>
    </row>
    <row r="485" spans="7:12" x14ac:dyDescent="0.25">
      <c r="G485" t="b">
        <f>IF(OR(INDEX(IHZ_HAZ_TOTAMOUNT,228,1)&lt;&gt;"",),IF(OR(INDEX(IHZ_HAZ_TOTNETGROSS,228,1)="",INDEX(IHZ_HAZ_TOTUNIT,228,1)="",),FALSE,TRUE),TRUE)</f>
        <v>1</v>
      </c>
      <c r="H485" t="str">
        <f t="shared" si="14"/>
        <v xml:space="preserve">Row 228 - If ‘Total amount’ is given, then ‘Net / Gross’ and ‘Total amount unit’ are required </v>
      </c>
      <c r="I485" t="s">
        <v>1391</v>
      </c>
      <c r="J485" t="b">
        <f>IF(OR(INDEX(OHZ_HAZ_TOTAMOUNT,228,1)&lt;&gt;"",),IF(OR(INDEX(OHZ_HAZ_TOTNETGROSS,228,1)="",INDEX(OHZ_HAZ_TOTUNIT,228,1)="",),FALSE,TRUE),TRUE)</f>
        <v>1</v>
      </c>
      <c r="K485" t="str">
        <f t="shared" si="15"/>
        <v xml:space="preserve">Row 228 - If ‘Total amount’ is given, then ‘Net / Gross’ and ‘Total amount unit’ are required </v>
      </c>
      <c r="L485" t="s">
        <v>1391</v>
      </c>
    </row>
    <row r="486" spans="7:12" x14ac:dyDescent="0.25">
      <c r="G486" t="b">
        <f>IF(OR(INDEX(IHZ_HAZ_TOTAMOUNT,229,1)&lt;&gt;"",),IF(OR(INDEX(IHZ_HAZ_TOTNETGROSS,229,1)="",INDEX(IHZ_HAZ_TOTUNIT,229,1)="",),FALSE,TRUE),TRUE)</f>
        <v>1</v>
      </c>
      <c r="H486" t="str">
        <f t="shared" si="14"/>
        <v xml:space="preserve">Row 229 - If ‘Total amount’ is given, then ‘Net / Gross’ and ‘Total amount unit’ are required </v>
      </c>
      <c r="I486" t="s">
        <v>1391</v>
      </c>
      <c r="J486" t="b">
        <f>IF(OR(INDEX(OHZ_HAZ_TOTAMOUNT,229,1)&lt;&gt;"",),IF(OR(INDEX(OHZ_HAZ_TOTNETGROSS,229,1)="",INDEX(OHZ_HAZ_TOTUNIT,229,1)="",),FALSE,TRUE),TRUE)</f>
        <v>1</v>
      </c>
      <c r="K486" t="str">
        <f t="shared" si="15"/>
        <v xml:space="preserve">Row 229 - If ‘Total amount’ is given, then ‘Net / Gross’ and ‘Total amount unit’ are required </v>
      </c>
      <c r="L486" t="s">
        <v>1391</v>
      </c>
    </row>
    <row r="487" spans="7:12" x14ac:dyDescent="0.25">
      <c r="G487" t="b">
        <f>IF(OR(INDEX(IHZ_HAZ_TOTAMOUNT,230,1)&lt;&gt;"",),IF(OR(INDEX(IHZ_HAZ_TOTNETGROSS,230,1)="",INDEX(IHZ_HAZ_TOTUNIT,230,1)="",),FALSE,TRUE),TRUE)</f>
        <v>1</v>
      </c>
      <c r="H487" t="str">
        <f t="shared" si="14"/>
        <v xml:space="preserve">Row 230 - If ‘Total amount’ is given, then ‘Net / Gross’ and ‘Total amount unit’ are required </v>
      </c>
      <c r="I487" t="s">
        <v>1391</v>
      </c>
      <c r="J487" t="b">
        <f>IF(OR(INDEX(OHZ_HAZ_TOTAMOUNT,230,1)&lt;&gt;"",),IF(OR(INDEX(OHZ_HAZ_TOTNETGROSS,230,1)="",INDEX(OHZ_HAZ_TOTUNIT,230,1)="",),FALSE,TRUE),TRUE)</f>
        <v>1</v>
      </c>
      <c r="K487" t="str">
        <f t="shared" si="15"/>
        <v xml:space="preserve">Row 230 - If ‘Total amount’ is given, then ‘Net / Gross’ and ‘Total amount unit’ are required </v>
      </c>
      <c r="L487" t="s">
        <v>1391</v>
      </c>
    </row>
    <row r="488" spans="7:12" x14ac:dyDescent="0.25">
      <c r="G488" t="b">
        <f>IF(OR(INDEX(IHZ_HAZ_TOTAMOUNT,231,1)&lt;&gt;"",),IF(OR(INDEX(IHZ_HAZ_TOTNETGROSS,231,1)="",INDEX(IHZ_HAZ_TOTUNIT,231,1)="",),FALSE,TRUE),TRUE)</f>
        <v>1</v>
      </c>
      <c r="H488" t="str">
        <f t="shared" si="14"/>
        <v xml:space="preserve">Row 231 - If ‘Total amount’ is given, then ‘Net / Gross’ and ‘Total amount unit’ are required </v>
      </c>
      <c r="I488" t="s">
        <v>1391</v>
      </c>
      <c r="J488" t="b">
        <f>IF(OR(INDEX(OHZ_HAZ_TOTAMOUNT,231,1)&lt;&gt;"",),IF(OR(INDEX(OHZ_HAZ_TOTNETGROSS,231,1)="",INDEX(OHZ_HAZ_TOTUNIT,231,1)="",),FALSE,TRUE),TRUE)</f>
        <v>1</v>
      </c>
      <c r="K488" t="str">
        <f t="shared" si="15"/>
        <v xml:space="preserve">Row 231 - If ‘Total amount’ is given, then ‘Net / Gross’ and ‘Total amount unit’ are required </v>
      </c>
      <c r="L488" t="s">
        <v>1391</v>
      </c>
    </row>
    <row r="489" spans="7:12" x14ac:dyDescent="0.25">
      <c r="G489" t="b">
        <f>IF(OR(INDEX(IHZ_HAZ_TOTAMOUNT,232,1)&lt;&gt;"",),IF(OR(INDEX(IHZ_HAZ_TOTNETGROSS,232,1)="",INDEX(IHZ_HAZ_TOTUNIT,232,1)="",),FALSE,TRUE),TRUE)</f>
        <v>1</v>
      </c>
      <c r="H489" t="str">
        <f t="shared" si="14"/>
        <v xml:space="preserve">Row 232 - If ‘Total amount’ is given, then ‘Net / Gross’ and ‘Total amount unit’ are required </v>
      </c>
      <c r="I489" t="s">
        <v>1391</v>
      </c>
      <c r="J489" t="b">
        <f>IF(OR(INDEX(OHZ_HAZ_TOTAMOUNT,232,1)&lt;&gt;"",),IF(OR(INDEX(OHZ_HAZ_TOTNETGROSS,232,1)="",INDEX(OHZ_HAZ_TOTUNIT,232,1)="",),FALSE,TRUE),TRUE)</f>
        <v>1</v>
      </c>
      <c r="K489" t="str">
        <f t="shared" si="15"/>
        <v xml:space="preserve">Row 232 - If ‘Total amount’ is given, then ‘Net / Gross’ and ‘Total amount unit’ are required </v>
      </c>
      <c r="L489" t="s">
        <v>1391</v>
      </c>
    </row>
    <row r="490" spans="7:12" x14ac:dyDescent="0.25">
      <c r="G490" t="b">
        <f>IF(OR(INDEX(IHZ_HAZ_TOTAMOUNT,233,1)&lt;&gt;"",),IF(OR(INDEX(IHZ_HAZ_TOTNETGROSS,233,1)="",INDEX(IHZ_HAZ_TOTUNIT,233,1)="",),FALSE,TRUE),TRUE)</f>
        <v>1</v>
      </c>
      <c r="H490" t="str">
        <f t="shared" si="14"/>
        <v xml:space="preserve">Row 233 - If ‘Total amount’ is given, then ‘Net / Gross’ and ‘Total amount unit’ are required </v>
      </c>
      <c r="I490" t="s">
        <v>1391</v>
      </c>
      <c r="J490" t="b">
        <f>IF(OR(INDEX(OHZ_HAZ_TOTAMOUNT,233,1)&lt;&gt;"",),IF(OR(INDEX(OHZ_HAZ_TOTNETGROSS,233,1)="",INDEX(OHZ_HAZ_TOTUNIT,233,1)="",),FALSE,TRUE),TRUE)</f>
        <v>1</v>
      </c>
      <c r="K490" t="str">
        <f t="shared" si="15"/>
        <v xml:space="preserve">Row 233 - If ‘Total amount’ is given, then ‘Net / Gross’ and ‘Total amount unit’ are required </v>
      </c>
      <c r="L490" t="s">
        <v>1391</v>
      </c>
    </row>
    <row r="491" spans="7:12" x14ac:dyDescent="0.25">
      <c r="G491" t="b">
        <f>IF(OR(INDEX(IHZ_HAZ_TOTAMOUNT,234,1)&lt;&gt;"",),IF(OR(INDEX(IHZ_HAZ_TOTNETGROSS,234,1)="",INDEX(IHZ_HAZ_TOTUNIT,234,1)="",),FALSE,TRUE),TRUE)</f>
        <v>1</v>
      </c>
      <c r="H491" t="str">
        <f t="shared" si="14"/>
        <v xml:space="preserve">Row 234 - If ‘Total amount’ is given, then ‘Net / Gross’ and ‘Total amount unit’ are required </v>
      </c>
      <c r="I491" t="s">
        <v>1391</v>
      </c>
      <c r="J491" t="b">
        <f>IF(OR(INDEX(OHZ_HAZ_TOTAMOUNT,234,1)&lt;&gt;"",),IF(OR(INDEX(OHZ_HAZ_TOTNETGROSS,234,1)="",INDEX(OHZ_HAZ_TOTUNIT,234,1)="",),FALSE,TRUE),TRUE)</f>
        <v>1</v>
      </c>
      <c r="K491" t="str">
        <f t="shared" si="15"/>
        <v xml:space="preserve">Row 234 - If ‘Total amount’ is given, then ‘Net / Gross’ and ‘Total amount unit’ are required </v>
      </c>
      <c r="L491" t="s">
        <v>1391</v>
      </c>
    </row>
    <row r="492" spans="7:12" x14ac:dyDescent="0.25">
      <c r="G492" t="b">
        <f>IF(OR(INDEX(IHZ_HAZ_TOTAMOUNT,235,1)&lt;&gt;"",),IF(OR(INDEX(IHZ_HAZ_TOTNETGROSS,235,1)="",INDEX(IHZ_HAZ_TOTUNIT,235,1)="",),FALSE,TRUE),TRUE)</f>
        <v>1</v>
      </c>
      <c r="H492" t="str">
        <f t="shared" si="14"/>
        <v xml:space="preserve">Row 235 - If ‘Total amount’ is given, then ‘Net / Gross’ and ‘Total amount unit’ are required </v>
      </c>
      <c r="I492" t="s">
        <v>1391</v>
      </c>
      <c r="J492" t="b">
        <f>IF(OR(INDEX(OHZ_HAZ_TOTAMOUNT,235,1)&lt;&gt;"",),IF(OR(INDEX(OHZ_HAZ_TOTNETGROSS,235,1)="",INDEX(OHZ_HAZ_TOTUNIT,235,1)="",),FALSE,TRUE),TRUE)</f>
        <v>1</v>
      </c>
      <c r="K492" t="str">
        <f t="shared" si="15"/>
        <v xml:space="preserve">Row 235 - If ‘Total amount’ is given, then ‘Net / Gross’ and ‘Total amount unit’ are required </v>
      </c>
      <c r="L492" t="s">
        <v>1391</v>
      </c>
    </row>
    <row r="493" spans="7:12" x14ac:dyDescent="0.25">
      <c r="G493" t="b">
        <f>IF(OR(INDEX(IHZ_HAZ_TOTAMOUNT,236,1)&lt;&gt;"",),IF(OR(INDEX(IHZ_HAZ_TOTNETGROSS,236,1)="",INDEX(IHZ_HAZ_TOTUNIT,236,1)="",),FALSE,TRUE),TRUE)</f>
        <v>1</v>
      </c>
      <c r="H493" t="str">
        <f t="shared" si="14"/>
        <v xml:space="preserve">Row 236 - If ‘Total amount’ is given, then ‘Net / Gross’ and ‘Total amount unit’ are required </v>
      </c>
      <c r="I493" t="s">
        <v>1391</v>
      </c>
      <c r="J493" t="b">
        <f>IF(OR(INDEX(OHZ_HAZ_TOTAMOUNT,236,1)&lt;&gt;"",),IF(OR(INDEX(OHZ_HAZ_TOTNETGROSS,236,1)="",INDEX(OHZ_HAZ_TOTUNIT,236,1)="",),FALSE,TRUE),TRUE)</f>
        <v>1</v>
      </c>
      <c r="K493" t="str">
        <f t="shared" si="15"/>
        <v xml:space="preserve">Row 236 - If ‘Total amount’ is given, then ‘Net / Gross’ and ‘Total amount unit’ are required </v>
      </c>
      <c r="L493" t="s">
        <v>1391</v>
      </c>
    </row>
    <row r="494" spans="7:12" x14ac:dyDescent="0.25">
      <c r="G494" t="b">
        <f>IF(OR(INDEX(IHZ_HAZ_TOTAMOUNT,237,1)&lt;&gt;"",),IF(OR(INDEX(IHZ_HAZ_TOTNETGROSS,237,1)="",INDEX(IHZ_HAZ_TOTUNIT,237,1)="",),FALSE,TRUE),TRUE)</f>
        <v>1</v>
      </c>
      <c r="H494" t="str">
        <f t="shared" si="14"/>
        <v xml:space="preserve">Row 237 - If ‘Total amount’ is given, then ‘Net / Gross’ and ‘Total amount unit’ are required </v>
      </c>
      <c r="I494" t="s">
        <v>1391</v>
      </c>
      <c r="J494" t="b">
        <f>IF(OR(INDEX(OHZ_HAZ_TOTAMOUNT,237,1)&lt;&gt;"",),IF(OR(INDEX(OHZ_HAZ_TOTNETGROSS,237,1)="",INDEX(OHZ_HAZ_TOTUNIT,237,1)="",),FALSE,TRUE),TRUE)</f>
        <v>1</v>
      </c>
      <c r="K494" t="str">
        <f t="shared" si="15"/>
        <v xml:space="preserve">Row 237 - If ‘Total amount’ is given, then ‘Net / Gross’ and ‘Total amount unit’ are required </v>
      </c>
      <c r="L494" t="s">
        <v>1391</v>
      </c>
    </row>
    <row r="495" spans="7:12" x14ac:dyDescent="0.25">
      <c r="G495" t="b">
        <f>IF(OR(INDEX(IHZ_HAZ_TOTAMOUNT,238,1)&lt;&gt;"",),IF(OR(INDEX(IHZ_HAZ_TOTNETGROSS,238,1)="",INDEX(IHZ_HAZ_TOTUNIT,238,1)="",),FALSE,TRUE),TRUE)</f>
        <v>1</v>
      </c>
      <c r="H495" t="str">
        <f t="shared" si="14"/>
        <v xml:space="preserve">Row 238 - If ‘Total amount’ is given, then ‘Net / Gross’ and ‘Total amount unit’ are required </v>
      </c>
      <c r="I495" t="s">
        <v>1391</v>
      </c>
      <c r="J495" t="b">
        <f>IF(OR(INDEX(OHZ_HAZ_TOTAMOUNT,238,1)&lt;&gt;"",),IF(OR(INDEX(OHZ_HAZ_TOTNETGROSS,238,1)="",INDEX(OHZ_HAZ_TOTUNIT,238,1)="",),FALSE,TRUE),TRUE)</f>
        <v>1</v>
      </c>
      <c r="K495" t="str">
        <f t="shared" si="15"/>
        <v xml:space="preserve">Row 238 - If ‘Total amount’ is given, then ‘Net / Gross’ and ‘Total amount unit’ are required </v>
      </c>
      <c r="L495" t="s">
        <v>1391</v>
      </c>
    </row>
    <row r="496" spans="7:12" x14ac:dyDescent="0.25">
      <c r="G496" t="b">
        <f>IF(OR(INDEX(IHZ_HAZ_TOTAMOUNT,239,1)&lt;&gt;"",),IF(OR(INDEX(IHZ_HAZ_TOTNETGROSS,239,1)="",INDEX(IHZ_HAZ_TOTUNIT,239,1)="",),FALSE,TRUE),TRUE)</f>
        <v>1</v>
      </c>
      <c r="H496" t="str">
        <f t="shared" si="14"/>
        <v xml:space="preserve">Row 239 - If ‘Total amount’ is given, then ‘Net / Gross’ and ‘Total amount unit’ are required </v>
      </c>
      <c r="I496" t="s">
        <v>1391</v>
      </c>
      <c r="J496" t="b">
        <f>IF(OR(INDEX(OHZ_HAZ_TOTAMOUNT,239,1)&lt;&gt;"",),IF(OR(INDEX(OHZ_HAZ_TOTNETGROSS,239,1)="",INDEX(OHZ_HAZ_TOTUNIT,239,1)="",),FALSE,TRUE),TRUE)</f>
        <v>1</v>
      </c>
      <c r="K496" t="str">
        <f t="shared" si="15"/>
        <v xml:space="preserve">Row 239 - If ‘Total amount’ is given, then ‘Net / Gross’ and ‘Total amount unit’ are required </v>
      </c>
      <c r="L496" t="s">
        <v>1391</v>
      </c>
    </row>
    <row r="497" spans="7:12" x14ac:dyDescent="0.25">
      <c r="G497" t="b">
        <f>IF(OR(INDEX(IHZ_HAZ_TOTAMOUNT,240,1)&lt;&gt;"",),IF(OR(INDEX(IHZ_HAZ_TOTNETGROSS,240,1)="",INDEX(IHZ_HAZ_TOTUNIT,240,1)="",),FALSE,TRUE),TRUE)</f>
        <v>1</v>
      </c>
      <c r="H497" t="str">
        <f t="shared" si="14"/>
        <v xml:space="preserve">Row 240 - If ‘Total amount’ is given, then ‘Net / Gross’ and ‘Total amount unit’ are required </v>
      </c>
      <c r="I497" t="s">
        <v>1391</v>
      </c>
      <c r="J497" t="b">
        <f>IF(OR(INDEX(OHZ_HAZ_TOTAMOUNT,240,1)&lt;&gt;"",),IF(OR(INDEX(OHZ_HAZ_TOTNETGROSS,240,1)="",INDEX(OHZ_HAZ_TOTUNIT,240,1)="",),FALSE,TRUE),TRUE)</f>
        <v>1</v>
      </c>
      <c r="K497" t="str">
        <f t="shared" si="15"/>
        <v xml:space="preserve">Row 240 - If ‘Total amount’ is given, then ‘Net / Gross’ and ‘Total amount unit’ are required </v>
      </c>
      <c r="L497" t="s">
        <v>1391</v>
      </c>
    </row>
    <row r="498" spans="7:12" x14ac:dyDescent="0.25">
      <c r="G498" t="b">
        <f>IF(OR(INDEX(IHZ_HAZ_TOTAMOUNT,241,1)&lt;&gt;"",),IF(OR(INDEX(IHZ_HAZ_TOTNETGROSS,241,1)="",INDEX(IHZ_HAZ_TOTUNIT,241,1)="",),FALSE,TRUE),TRUE)</f>
        <v>1</v>
      </c>
      <c r="H498" t="str">
        <f t="shared" si="14"/>
        <v xml:space="preserve">Row 241 - If ‘Total amount’ is given, then ‘Net / Gross’ and ‘Total amount unit’ are required </v>
      </c>
      <c r="I498" t="s">
        <v>1391</v>
      </c>
      <c r="J498" t="b">
        <f>IF(OR(INDEX(OHZ_HAZ_TOTAMOUNT,241,1)&lt;&gt;"",),IF(OR(INDEX(OHZ_HAZ_TOTNETGROSS,241,1)="",INDEX(OHZ_HAZ_TOTUNIT,241,1)="",),FALSE,TRUE),TRUE)</f>
        <v>1</v>
      </c>
      <c r="K498" t="str">
        <f t="shared" si="15"/>
        <v xml:space="preserve">Row 241 - If ‘Total amount’ is given, then ‘Net / Gross’ and ‘Total amount unit’ are required </v>
      </c>
      <c r="L498" t="s">
        <v>1391</v>
      </c>
    </row>
    <row r="499" spans="7:12" x14ac:dyDescent="0.25">
      <c r="G499" t="b">
        <f>IF(OR(INDEX(IHZ_HAZ_TOTAMOUNT,242,1)&lt;&gt;"",),IF(OR(INDEX(IHZ_HAZ_TOTNETGROSS,242,1)="",INDEX(IHZ_HAZ_TOTUNIT,242,1)="",),FALSE,TRUE),TRUE)</f>
        <v>1</v>
      </c>
      <c r="H499" t="str">
        <f t="shared" si="14"/>
        <v xml:space="preserve">Row 242 - If ‘Total amount’ is given, then ‘Net / Gross’ and ‘Total amount unit’ are required </v>
      </c>
      <c r="I499" t="s">
        <v>1391</v>
      </c>
      <c r="J499" t="b">
        <f>IF(OR(INDEX(OHZ_HAZ_TOTAMOUNT,242,1)&lt;&gt;"",),IF(OR(INDEX(OHZ_HAZ_TOTNETGROSS,242,1)="",INDEX(OHZ_HAZ_TOTUNIT,242,1)="",),FALSE,TRUE),TRUE)</f>
        <v>1</v>
      </c>
      <c r="K499" t="str">
        <f t="shared" si="15"/>
        <v xml:space="preserve">Row 242 - If ‘Total amount’ is given, then ‘Net / Gross’ and ‘Total amount unit’ are required </v>
      </c>
      <c r="L499" t="s">
        <v>1391</v>
      </c>
    </row>
    <row r="500" spans="7:12" x14ac:dyDescent="0.25">
      <c r="G500" t="b">
        <f>IF(OR(INDEX(IHZ_HAZ_TOTAMOUNT,243,1)&lt;&gt;"",),IF(OR(INDEX(IHZ_HAZ_TOTNETGROSS,243,1)="",INDEX(IHZ_HAZ_TOTUNIT,243,1)="",),FALSE,TRUE),TRUE)</f>
        <v>1</v>
      </c>
      <c r="H500" t="str">
        <f t="shared" si="14"/>
        <v xml:space="preserve">Row 243 - If ‘Total amount’ is given, then ‘Net / Gross’ and ‘Total amount unit’ are required </v>
      </c>
      <c r="I500" t="s">
        <v>1391</v>
      </c>
      <c r="J500" t="b">
        <f>IF(OR(INDEX(OHZ_HAZ_TOTAMOUNT,243,1)&lt;&gt;"",),IF(OR(INDEX(OHZ_HAZ_TOTNETGROSS,243,1)="",INDEX(OHZ_HAZ_TOTUNIT,243,1)="",),FALSE,TRUE),TRUE)</f>
        <v>1</v>
      </c>
      <c r="K500" t="str">
        <f t="shared" si="15"/>
        <v xml:space="preserve">Row 243 - If ‘Total amount’ is given, then ‘Net / Gross’ and ‘Total amount unit’ are required </v>
      </c>
      <c r="L500" t="s">
        <v>1391</v>
      </c>
    </row>
    <row r="501" spans="7:12" x14ac:dyDescent="0.25">
      <c r="G501" t="b">
        <f>IF(OR(INDEX(IHZ_HAZ_TOTAMOUNT,244,1)&lt;&gt;"",),IF(OR(INDEX(IHZ_HAZ_TOTNETGROSS,244,1)="",INDEX(IHZ_HAZ_TOTUNIT,244,1)="",),FALSE,TRUE),TRUE)</f>
        <v>1</v>
      </c>
      <c r="H501" t="str">
        <f t="shared" si="14"/>
        <v xml:space="preserve">Row 244 - If ‘Total amount’ is given, then ‘Net / Gross’ and ‘Total amount unit’ are required </v>
      </c>
      <c r="I501" t="s">
        <v>1391</v>
      </c>
      <c r="J501" t="b">
        <f>IF(OR(INDEX(OHZ_HAZ_TOTAMOUNT,244,1)&lt;&gt;"",),IF(OR(INDEX(OHZ_HAZ_TOTNETGROSS,244,1)="",INDEX(OHZ_HAZ_TOTUNIT,244,1)="",),FALSE,TRUE),TRUE)</f>
        <v>1</v>
      </c>
      <c r="K501" t="str">
        <f t="shared" si="15"/>
        <v xml:space="preserve">Row 244 - If ‘Total amount’ is given, then ‘Net / Gross’ and ‘Total amount unit’ are required </v>
      </c>
      <c r="L501" t="s">
        <v>1391</v>
      </c>
    </row>
    <row r="502" spans="7:12" x14ac:dyDescent="0.25">
      <c r="G502" t="b">
        <f>IF(OR(INDEX(IHZ_HAZ_TOTAMOUNT,245,1)&lt;&gt;"",),IF(OR(INDEX(IHZ_HAZ_TOTNETGROSS,245,1)="",INDEX(IHZ_HAZ_TOTUNIT,245,1)="",),FALSE,TRUE),TRUE)</f>
        <v>1</v>
      </c>
      <c r="H502" t="str">
        <f t="shared" si="14"/>
        <v xml:space="preserve">Row 245 - If ‘Total amount’ is given, then ‘Net / Gross’ and ‘Total amount unit’ are required </v>
      </c>
      <c r="I502" t="s">
        <v>1391</v>
      </c>
      <c r="J502" t="b">
        <f>IF(OR(INDEX(OHZ_HAZ_TOTAMOUNT,245,1)&lt;&gt;"",),IF(OR(INDEX(OHZ_HAZ_TOTNETGROSS,245,1)="",INDEX(OHZ_HAZ_TOTUNIT,245,1)="",),FALSE,TRUE),TRUE)</f>
        <v>1</v>
      </c>
      <c r="K502" t="str">
        <f t="shared" si="15"/>
        <v xml:space="preserve">Row 245 - If ‘Total amount’ is given, then ‘Net / Gross’ and ‘Total amount unit’ are required </v>
      </c>
      <c r="L502" t="s">
        <v>1391</v>
      </c>
    </row>
    <row r="503" spans="7:12" x14ac:dyDescent="0.25">
      <c r="G503" t="b">
        <f>IF(OR(INDEX(IHZ_HAZ_TOTAMOUNT,246,1)&lt;&gt;"",),IF(OR(INDEX(IHZ_HAZ_TOTNETGROSS,246,1)="",INDEX(IHZ_HAZ_TOTUNIT,246,1)="",),FALSE,TRUE),TRUE)</f>
        <v>1</v>
      </c>
      <c r="H503" t="str">
        <f t="shared" si="14"/>
        <v xml:space="preserve">Row 246 - If ‘Total amount’ is given, then ‘Net / Gross’ and ‘Total amount unit’ are required </v>
      </c>
      <c r="I503" t="s">
        <v>1391</v>
      </c>
      <c r="J503" t="b">
        <f>IF(OR(INDEX(OHZ_HAZ_TOTAMOUNT,246,1)&lt;&gt;"",),IF(OR(INDEX(OHZ_HAZ_TOTNETGROSS,246,1)="",INDEX(OHZ_HAZ_TOTUNIT,246,1)="",),FALSE,TRUE),TRUE)</f>
        <v>1</v>
      </c>
      <c r="K503" t="str">
        <f t="shared" si="15"/>
        <v xml:space="preserve">Row 246 - If ‘Total amount’ is given, then ‘Net / Gross’ and ‘Total amount unit’ are required </v>
      </c>
      <c r="L503" t="s">
        <v>1391</v>
      </c>
    </row>
    <row r="504" spans="7:12" x14ac:dyDescent="0.25">
      <c r="G504" t="b">
        <f>IF(OR(INDEX(IHZ_HAZ_TOTAMOUNT,247,1)&lt;&gt;"",),IF(OR(INDEX(IHZ_HAZ_TOTNETGROSS,247,1)="",INDEX(IHZ_HAZ_TOTUNIT,247,1)="",),FALSE,TRUE),TRUE)</f>
        <v>1</v>
      </c>
      <c r="H504" t="str">
        <f t="shared" si="14"/>
        <v xml:space="preserve">Row 247 - If ‘Total amount’ is given, then ‘Net / Gross’ and ‘Total amount unit’ are required </v>
      </c>
      <c r="I504" t="s">
        <v>1391</v>
      </c>
      <c r="J504" t="b">
        <f>IF(OR(INDEX(OHZ_HAZ_TOTAMOUNT,247,1)&lt;&gt;"",),IF(OR(INDEX(OHZ_HAZ_TOTNETGROSS,247,1)="",INDEX(OHZ_HAZ_TOTUNIT,247,1)="",),FALSE,TRUE),TRUE)</f>
        <v>1</v>
      </c>
      <c r="K504" t="str">
        <f t="shared" si="15"/>
        <v xml:space="preserve">Row 247 - If ‘Total amount’ is given, then ‘Net / Gross’ and ‘Total amount unit’ are required </v>
      </c>
      <c r="L504" t="s">
        <v>1391</v>
      </c>
    </row>
    <row r="505" spans="7:12" x14ac:dyDescent="0.25">
      <c r="G505" t="b">
        <f>IF(OR(INDEX(IHZ_HAZ_TOTAMOUNT,248,1)&lt;&gt;"",),IF(OR(INDEX(IHZ_HAZ_TOTNETGROSS,248,1)="",INDEX(IHZ_HAZ_TOTUNIT,248,1)="",),FALSE,TRUE),TRUE)</f>
        <v>1</v>
      </c>
      <c r="H505" t="str">
        <f t="shared" si="14"/>
        <v xml:space="preserve">Row 248 - If ‘Total amount’ is given, then ‘Net / Gross’ and ‘Total amount unit’ are required </v>
      </c>
      <c r="I505" t="s">
        <v>1391</v>
      </c>
      <c r="J505" t="b">
        <f>IF(OR(INDEX(OHZ_HAZ_TOTAMOUNT,248,1)&lt;&gt;"",),IF(OR(INDEX(OHZ_HAZ_TOTNETGROSS,248,1)="",INDEX(OHZ_HAZ_TOTUNIT,248,1)="",),FALSE,TRUE),TRUE)</f>
        <v>1</v>
      </c>
      <c r="K505" t="str">
        <f t="shared" si="15"/>
        <v xml:space="preserve">Row 248 - If ‘Total amount’ is given, then ‘Net / Gross’ and ‘Total amount unit’ are required </v>
      </c>
      <c r="L505" t="s">
        <v>1391</v>
      </c>
    </row>
    <row r="506" spans="7:12" x14ac:dyDescent="0.25">
      <c r="G506" t="b">
        <f>IF(OR(INDEX(IHZ_HAZ_TOTAMOUNT,249,1)&lt;&gt;"",),IF(OR(INDEX(IHZ_HAZ_TOTNETGROSS,249,1)="",INDEX(IHZ_HAZ_TOTUNIT,249,1)="",),FALSE,TRUE),TRUE)</f>
        <v>1</v>
      </c>
      <c r="H506" t="str">
        <f t="shared" si="14"/>
        <v xml:space="preserve">Row 249 - If ‘Total amount’ is given, then ‘Net / Gross’ and ‘Total amount unit’ are required </v>
      </c>
      <c r="I506" t="s">
        <v>1391</v>
      </c>
      <c r="J506" t="b">
        <f>IF(OR(INDEX(OHZ_HAZ_TOTAMOUNT,249,1)&lt;&gt;"",),IF(OR(INDEX(OHZ_HAZ_TOTNETGROSS,249,1)="",INDEX(OHZ_HAZ_TOTUNIT,249,1)="",),FALSE,TRUE),TRUE)</f>
        <v>1</v>
      </c>
      <c r="K506" t="str">
        <f t="shared" si="15"/>
        <v xml:space="preserve">Row 249 - If ‘Total amount’ is given, then ‘Net / Gross’ and ‘Total amount unit’ are required </v>
      </c>
      <c r="L506" t="s">
        <v>1391</v>
      </c>
    </row>
    <row r="507" spans="7:12" x14ac:dyDescent="0.25">
      <c r="G507" t="b">
        <f>IF(OR(INDEX(IHZ_HAZ_TOTAMOUNT,250,1)&lt;&gt;"",),IF(OR(INDEX(IHZ_HAZ_TOTNETGROSS,250,1)="",INDEX(IHZ_HAZ_TOTUNIT,250,1)="",),FALSE,TRUE),TRUE)</f>
        <v>1</v>
      </c>
      <c r="H507" t="str">
        <f t="shared" si="14"/>
        <v xml:space="preserve">Row 250 - If ‘Total amount’ is given, then ‘Net / Gross’ and ‘Total amount unit’ are required </v>
      </c>
      <c r="I507" t="s">
        <v>1391</v>
      </c>
      <c r="J507" t="b">
        <f>IF(OR(INDEX(OHZ_HAZ_TOTAMOUNT,250,1)&lt;&gt;"",),IF(OR(INDEX(OHZ_HAZ_TOTNETGROSS,250,1)="",INDEX(OHZ_HAZ_TOTUNIT,250,1)="",),FALSE,TRUE),TRUE)</f>
        <v>1</v>
      </c>
      <c r="K507" t="str">
        <f t="shared" si="15"/>
        <v xml:space="preserve">Row 250 - If ‘Total amount’ is given, then ‘Net / Gross’ and ‘Total amount unit’ are required </v>
      </c>
      <c r="L507" t="s">
        <v>1391</v>
      </c>
    </row>
    <row r="508" spans="7:12" x14ac:dyDescent="0.25">
      <c r="G508" t="b">
        <f>IF(OR(INDEX(IHZ_HAZ_UNITTYPE,1,1)="TEU",),INDEX(IHZ_HAZ_TEUID,1,1)&lt;&gt;"",TRUE)</f>
        <v>1</v>
      </c>
      <c r="H508" t="str">
        <f>T1&amp;$V$3</f>
        <v>Row 1 - If ‘TEU type’ is ‘TEU’ then ‘TEU Id’ is required</v>
      </c>
      <c r="I508" t="s">
        <v>1391</v>
      </c>
      <c r="J508" t="b">
        <f>IF(OR(INDEX(OHZ_HAZ_UNITTYPE,1,1)="TEU",),INDEX(OHZ_HAZ_TEUID,1,1)&lt;&gt;"",TRUE)</f>
        <v>1</v>
      </c>
      <c r="K508" t="str">
        <f>T1&amp;$V$3</f>
        <v>Row 1 - If ‘TEU type’ is ‘TEU’ then ‘TEU Id’ is required</v>
      </c>
      <c r="L508" t="s">
        <v>1391</v>
      </c>
    </row>
    <row r="509" spans="7:12" x14ac:dyDescent="0.25">
      <c r="G509" t="b">
        <f>IF(OR(INDEX(IHZ_HAZ_UNITTYPE,2,1)="TEU",),INDEX(IHZ_HAZ_TEUID,2,1)&lt;&gt;"",TRUE)</f>
        <v>1</v>
      </c>
      <c r="H509" t="str">
        <f t="shared" ref="H509:H572" si="16">T2&amp;$V$3</f>
        <v>Row 2 - If ‘TEU type’ is ‘TEU’ then ‘TEU Id’ is required</v>
      </c>
      <c r="I509" t="s">
        <v>1391</v>
      </c>
      <c r="J509" t="b">
        <f>IF(OR(INDEX(OHZ_HAZ_UNITTYPE,2,1)="TEU",),INDEX(OHZ_HAZ_TEUID,2,1)&lt;&gt;"",TRUE)</f>
        <v>1</v>
      </c>
      <c r="K509" t="str">
        <f t="shared" ref="K509:K572" si="17">T2&amp;$V$3</f>
        <v>Row 2 - If ‘TEU type’ is ‘TEU’ then ‘TEU Id’ is required</v>
      </c>
      <c r="L509" t="s">
        <v>1391</v>
      </c>
    </row>
    <row r="510" spans="7:12" x14ac:dyDescent="0.25">
      <c r="G510" t="b">
        <f>IF(OR(INDEX(IHZ_HAZ_UNITTYPE,3,1)="TEU",),INDEX(IHZ_HAZ_TEUID,3,1)&lt;&gt;"",TRUE)</f>
        <v>1</v>
      </c>
      <c r="H510" t="str">
        <f t="shared" si="16"/>
        <v>Row 3 - If ‘TEU type’ is ‘TEU’ then ‘TEU Id’ is required</v>
      </c>
      <c r="I510" t="s">
        <v>1391</v>
      </c>
      <c r="J510" t="b">
        <f>IF(OR(INDEX(OHZ_HAZ_UNITTYPE,3,1)="TEU",),INDEX(OHZ_HAZ_TEUID,3,1)&lt;&gt;"",TRUE)</f>
        <v>1</v>
      </c>
      <c r="K510" t="str">
        <f t="shared" si="17"/>
        <v>Row 3 - If ‘TEU type’ is ‘TEU’ then ‘TEU Id’ is required</v>
      </c>
      <c r="L510" t="s">
        <v>1391</v>
      </c>
    </row>
    <row r="511" spans="7:12" x14ac:dyDescent="0.25">
      <c r="G511" t="b">
        <f>IF(OR(INDEX(IHZ_HAZ_UNITTYPE,4,1)="TEU",),INDEX(IHZ_HAZ_TEUID,4,1)&lt;&gt;"",TRUE)</f>
        <v>1</v>
      </c>
      <c r="H511" t="str">
        <f t="shared" si="16"/>
        <v>Row 4 - If ‘TEU type’ is ‘TEU’ then ‘TEU Id’ is required</v>
      </c>
      <c r="I511" t="s">
        <v>1391</v>
      </c>
      <c r="J511" t="b">
        <f>IF(OR(INDEX(OHZ_HAZ_UNITTYPE,4,1)="TEU",),INDEX(OHZ_HAZ_TEUID,4,1)&lt;&gt;"",TRUE)</f>
        <v>1</v>
      </c>
      <c r="K511" t="str">
        <f t="shared" si="17"/>
        <v>Row 4 - If ‘TEU type’ is ‘TEU’ then ‘TEU Id’ is required</v>
      </c>
      <c r="L511" t="s">
        <v>1391</v>
      </c>
    </row>
    <row r="512" spans="7:12" x14ac:dyDescent="0.25">
      <c r="G512" t="b">
        <f>IF(OR(INDEX(IHZ_HAZ_UNITTYPE,5,1)="TEU",),INDEX(IHZ_HAZ_TEUID,5,1)&lt;&gt;"",TRUE)</f>
        <v>1</v>
      </c>
      <c r="H512" t="str">
        <f t="shared" si="16"/>
        <v>Row 5 - If ‘TEU type’ is ‘TEU’ then ‘TEU Id’ is required</v>
      </c>
      <c r="I512" t="s">
        <v>1391</v>
      </c>
      <c r="J512" t="b">
        <f>IF(OR(INDEX(OHZ_HAZ_UNITTYPE,5,1)="TEU",),INDEX(OHZ_HAZ_TEUID,5,1)&lt;&gt;"",TRUE)</f>
        <v>1</v>
      </c>
      <c r="K512" t="str">
        <f t="shared" si="17"/>
        <v>Row 5 - If ‘TEU type’ is ‘TEU’ then ‘TEU Id’ is required</v>
      </c>
      <c r="L512" t="s">
        <v>1391</v>
      </c>
    </row>
    <row r="513" spans="7:12" x14ac:dyDescent="0.25">
      <c r="G513" t="b">
        <f>IF(OR(INDEX(IHZ_HAZ_UNITTYPE,6,1)="TEU",),INDEX(IHZ_HAZ_TEUID,6,1)&lt;&gt;"",TRUE)</f>
        <v>1</v>
      </c>
      <c r="H513" t="str">
        <f t="shared" si="16"/>
        <v>Row 6 - If ‘TEU type’ is ‘TEU’ then ‘TEU Id’ is required</v>
      </c>
      <c r="I513" t="s">
        <v>1391</v>
      </c>
      <c r="J513" t="b">
        <f>IF(OR(INDEX(OHZ_HAZ_UNITTYPE,6,1)="TEU",),INDEX(OHZ_HAZ_TEUID,6,1)&lt;&gt;"",TRUE)</f>
        <v>1</v>
      </c>
      <c r="K513" t="str">
        <f t="shared" si="17"/>
        <v>Row 6 - If ‘TEU type’ is ‘TEU’ then ‘TEU Id’ is required</v>
      </c>
      <c r="L513" t="s">
        <v>1391</v>
      </c>
    </row>
    <row r="514" spans="7:12" x14ac:dyDescent="0.25">
      <c r="G514" t="b">
        <f>IF(OR(INDEX(IHZ_HAZ_UNITTYPE,7,1)="TEU",),INDEX(IHZ_HAZ_TEUID,7,1)&lt;&gt;"",TRUE)</f>
        <v>1</v>
      </c>
      <c r="H514" t="str">
        <f t="shared" si="16"/>
        <v>Row 7 - If ‘TEU type’ is ‘TEU’ then ‘TEU Id’ is required</v>
      </c>
      <c r="I514" t="s">
        <v>1391</v>
      </c>
      <c r="J514" t="b">
        <f>IF(OR(INDEX(OHZ_HAZ_UNITTYPE,7,1)="TEU",),INDEX(OHZ_HAZ_TEUID,7,1)&lt;&gt;"",TRUE)</f>
        <v>1</v>
      </c>
      <c r="K514" t="str">
        <f t="shared" si="17"/>
        <v>Row 7 - If ‘TEU type’ is ‘TEU’ then ‘TEU Id’ is required</v>
      </c>
      <c r="L514" t="s">
        <v>1391</v>
      </c>
    </row>
    <row r="515" spans="7:12" x14ac:dyDescent="0.25">
      <c r="G515" t="b">
        <f>IF(OR(INDEX(IHZ_HAZ_UNITTYPE,8,1)="TEU",),INDEX(IHZ_HAZ_TEUID,8,1)&lt;&gt;"",TRUE)</f>
        <v>1</v>
      </c>
      <c r="H515" t="str">
        <f t="shared" si="16"/>
        <v>Row 8 - If ‘TEU type’ is ‘TEU’ then ‘TEU Id’ is required</v>
      </c>
      <c r="I515" t="s">
        <v>1391</v>
      </c>
      <c r="J515" t="b">
        <f>IF(OR(INDEX(OHZ_HAZ_UNITTYPE,8,1)="TEU",),INDEX(OHZ_HAZ_TEUID,8,1)&lt;&gt;"",TRUE)</f>
        <v>1</v>
      </c>
      <c r="K515" t="str">
        <f t="shared" si="17"/>
        <v>Row 8 - If ‘TEU type’ is ‘TEU’ then ‘TEU Id’ is required</v>
      </c>
      <c r="L515" t="s">
        <v>1391</v>
      </c>
    </row>
    <row r="516" spans="7:12" x14ac:dyDescent="0.25">
      <c r="G516" t="b">
        <f>IF(OR(INDEX(IHZ_HAZ_UNITTYPE,9,1)="TEU",),INDEX(IHZ_HAZ_TEUID,9,1)&lt;&gt;"",TRUE)</f>
        <v>1</v>
      </c>
      <c r="H516" t="str">
        <f t="shared" si="16"/>
        <v>Row 9 - If ‘TEU type’ is ‘TEU’ then ‘TEU Id’ is required</v>
      </c>
      <c r="I516" t="s">
        <v>1391</v>
      </c>
      <c r="J516" t="b">
        <f>IF(OR(INDEX(OHZ_HAZ_UNITTYPE,9,1)="TEU",),INDEX(OHZ_HAZ_TEUID,9,1)&lt;&gt;"",TRUE)</f>
        <v>1</v>
      </c>
      <c r="K516" t="str">
        <f t="shared" si="17"/>
        <v>Row 9 - If ‘TEU type’ is ‘TEU’ then ‘TEU Id’ is required</v>
      </c>
      <c r="L516" t="s">
        <v>1391</v>
      </c>
    </row>
    <row r="517" spans="7:12" x14ac:dyDescent="0.25">
      <c r="G517" t="b">
        <f>IF(OR(INDEX(IHZ_HAZ_UNITTYPE,10,1)="TEU",),INDEX(IHZ_HAZ_TEUID,10,1)&lt;&gt;"",TRUE)</f>
        <v>1</v>
      </c>
      <c r="H517" t="str">
        <f t="shared" si="16"/>
        <v>Row 10 - If ‘TEU type’ is ‘TEU’ then ‘TEU Id’ is required</v>
      </c>
      <c r="I517" t="s">
        <v>1391</v>
      </c>
      <c r="J517" t="b">
        <f>IF(OR(INDEX(OHZ_HAZ_UNITTYPE,10,1)="TEU",),INDEX(OHZ_HAZ_TEUID,10,1)&lt;&gt;"",TRUE)</f>
        <v>1</v>
      </c>
      <c r="K517" t="str">
        <f t="shared" si="17"/>
        <v>Row 10 - If ‘TEU type’ is ‘TEU’ then ‘TEU Id’ is required</v>
      </c>
      <c r="L517" t="s">
        <v>1391</v>
      </c>
    </row>
    <row r="518" spans="7:12" x14ac:dyDescent="0.25">
      <c r="G518" t="b">
        <f>IF(OR(INDEX(IHZ_HAZ_UNITTYPE,11,1)="TEU",),INDEX(IHZ_HAZ_TEUID,11,1)&lt;&gt;"",TRUE)</f>
        <v>1</v>
      </c>
      <c r="H518" t="str">
        <f t="shared" si="16"/>
        <v>Row 11 - If ‘TEU type’ is ‘TEU’ then ‘TEU Id’ is required</v>
      </c>
      <c r="I518" t="s">
        <v>1391</v>
      </c>
      <c r="J518" t="b">
        <f>IF(OR(INDEX(OHZ_HAZ_UNITTYPE,11,1)="TEU",),INDEX(OHZ_HAZ_TEUID,11,1)&lt;&gt;"",TRUE)</f>
        <v>1</v>
      </c>
      <c r="K518" t="str">
        <f t="shared" si="17"/>
        <v>Row 11 - If ‘TEU type’ is ‘TEU’ then ‘TEU Id’ is required</v>
      </c>
      <c r="L518" t="s">
        <v>1391</v>
      </c>
    </row>
    <row r="519" spans="7:12" x14ac:dyDescent="0.25">
      <c r="G519" t="b">
        <f>IF(OR(INDEX(IHZ_HAZ_UNITTYPE,12,1)="TEU",),INDEX(IHZ_HAZ_TEUID,12,1)&lt;&gt;"",TRUE)</f>
        <v>1</v>
      </c>
      <c r="H519" t="str">
        <f t="shared" si="16"/>
        <v>Row 12 - If ‘TEU type’ is ‘TEU’ then ‘TEU Id’ is required</v>
      </c>
      <c r="I519" t="s">
        <v>1391</v>
      </c>
      <c r="J519" t="b">
        <f>IF(OR(INDEX(OHZ_HAZ_UNITTYPE,12,1)="TEU",),INDEX(OHZ_HAZ_TEUID,12,1)&lt;&gt;"",TRUE)</f>
        <v>1</v>
      </c>
      <c r="K519" t="str">
        <f t="shared" si="17"/>
        <v>Row 12 - If ‘TEU type’ is ‘TEU’ then ‘TEU Id’ is required</v>
      </c>
      <c r="L519" t="s">
        <v>1391</v>
      </c>
    </row>
    <row r="520" spans="7:12" x14ac:dyDescent="0.25">
      <c r="G520" t="b">
        <f>IF(OR(INDEX(IHZ_HAZ_UNITTYPE,13,1)="TEU",),INDEX(IHZ_HAZ_TEUID,13,1)&lt;&gt;"",TRUE)</f>
        <v>1</v>
      </c>
      <c r="H520" t="str">
        <f t="shared" si="16"/>
        <v>Row 13 - If ‘TEU type’ is ‘TEU’ then ‘TEU Id’ is required</v>
      </c>
      <c r="I520" t="s">
        <v>1391</v>
      </c>
      <c r="J520" t="b">
        <f>IF(OR(INDEX(OHZ_HAZ_UNITTYPE,13,1)="TEU",),INDEX(OHZ_HAZ_TEUID,13,1)&lt;&gt;"",TRUE)</f>
        <v>1</v>
      </c>
      <c r="K520" t="str">
        <f t="shared" si="17"/>
        <v>Row 13 - If ‘TEU type’ is ‘TEU’ then ‘TEU Id’ is required</v>
      </c>
      <c r="L520" t="s">
        <v>1391</v>
      </c>
    </row>
    <row r="521" spans="7:12" x14ac:dyDescent="0.25">
      <c r="G521" t="b">
        <f>IF(OR(INDEX(IHZ_HAZ_UNITTYPE,14,1)="TEU",),INDEX(IHZ_HAZ_TEUID,14,1)&lt;&gt;"",TRUE)</f>
        <v>1</v>
      </c>
      <c r="H521" t="str">
        <f t="shared" si="16"/>
        <v>Row 14 - If ‘TEU type’ is ‘TEU’ then ‘TEU Id’ is required</v>
      </c>
      <c r="I521" t="s">
        <v>1391</v>
      </c>
      <c r="J521" t="b">
        <f>IF(OR(INDEX(OHZ_HAZ_UNITTYPE,14,1)="TEU",),INDEX(OHZ_HAZ_TEUID,14,1)&lt;&gt;"",TRUE)</f>
        <v>1</v>
      </c>
      <c r="K521" t="str">
        <f t="shared" si="17"/>
        <v>Row 14 - If ‘TEU type’ is ‘TEU’ then ‘TEU Id’ is required</v>
      </c>
      <c r="L521" t="s">
        <v>1391</v>
      </c>
    </row>
    <row r="522" spans="7:12" x14ac:dyDescent="0.25">
      <c r="G522" t="b">
        <f>IF(OR(INDEX(IHZ_HAZ_UNITTYPE,15,1)="TEU",),INDEX(IHZ_HAZ_TEUID,15,1)&lt;&gt;"",TRUE)</f>
        <v>1</v>
      </c>
      <c r="H522" t="str">
        <f t="shared" si="16"/>
        <v>Row 15 - If ‘TEU type’ is ‘TEU’ then ‘TEU Id’ is required</v>
      </c>
      <c r="I522" t="s">
        <v>1391</v>
      </c>
      <c r="J522" t="b">
        <f>IF(OR(INDEX(OHZ_HAZ_UNITTYPE,15,1)="TEU",),INDEX(OHZ_HAZ_TEUID,15,1)&lt;&gt;"",TRUE)</f>
        <v>1</v>
      </c>
      <c r="K522" t="str">
        <f t="shared" si="17"/>
        <v>Row 15 - If ‘TEU type’ is ‘TEU’ then ‘TEU Id’ is required</v>
      </c>
      <c r="L522" t="s">
        <v>1391</v>
      </c>
    </row>
    <row r="523" spans="7:12" x14ac:dyDescent="0.25">
      <c r="G523" t="b">
        <f>IF(OR(INDEX(IHZ_HAZ_UNITTYPE,16,1)="TEU",),INDEX(IHZ_HAZ_TEUID,16,1)&lt;&gt;"",TRUE)</f>
        <v>1</v>
      </c>
      <c r="H523" t="str">
        <f t="shared" si="16"/>
        <v>Row 16 - If ‘TEU type’ is ‘TEU’ then ‘TEU Id’ is required</v>
      </c>
      <c r="I523" t="s">
        <v>1391</v>
      </c>
      <c r="J523" t="b">
        <f>IF(OR(INDEX(OHZ_HAZ_UNITTYPE,16,1)="TEU",),INDEX(OHZ_HAZ_TEUID,16,1)&lt;&gt;"",TRUE)</f>
        <v>1</v>
      </c>
      <c r="K523" t="str">
        <f t="shared" si="17"/>
        <v>Row 16 - If ‘TEU type’ is ‘TEU’ then ‘TEU Id’ is required</v>
      </c>
      <c r="L523" t="s">
        <v>1391</v>
      </c>
    </row>
    <row r="524" spans="7:12" x14ac:dyDescent="0.25">
      <c r="G524" t="b">
        <f>IF(OR(INDEX(IHZ_HAZ_UNITTYPE,17,1)="TEU",),INDEX(IHZ_HAZ_TEUID,17,1)&lt;&gt;"",TRUE)</f>
        <v>1</v>
      </c>
      <c r="H524" t="str">
        <f t="shared" si="16"/>
        <v>Row 17 - If ‘TEU type’ is ‘TEU’ then ‘TEU Id’ is required</v>
      </c>
      <c r="I524" t="s">
        <v>1391</v>
      </c>
      <c r="J524" t="b">
        <f>IF(OR(INDEX(OHZ_HAZ_UNITTYPE,17,1)="TEU",),INDEX(OHZ_HAZ_TEUID,17,1)&lt;&gt;"",TRUE)</f>
        <v>1</v>
      </c>
      <c r="K524" t="str">
        <f t="shared" si="17"/>
        <v>Row 17 - If ‘TEU type’ is ‘TEU’ then ‘TEU Id’ is required</v>
      </c>
      <c r="L524" t="s">
        <v>1391</v>
      </c>
    </row>
    <row r="525" spans="7:12" x14ac:dyDescent="0.25">
      <c r="G525" t="b">
        <f>IF(OR(INDEX(IHZ_HAZ_UNITTYPE,18,1)="TEU",),INDEX(IHZ_HAZ_TEUID,18,1)&lt;&gt;"",TRUE)</f>
        <v>1</v>
      </c>
      <c r="H525" t="str">
        <f t="shared" si="16"/>
        <v>Row 18 - If ‘TEU type’ is ‘TEU’ then ‘TEU Id’ is required</v>
      </c>
      <c r="I525" t="s">
        <v>1391</v>
      </c>
      <c r="J525" t="b">
        <f>IF(OR(INDEX(OHZ_HAZ_UNITTYPE,18,1)="TEU",),INDEX(OHZ_HAZ_TEUID,18,1)&lt;&gt;"",TRUE)</f>
        <v>1</v>
      </c>
      <c r="K525" t="str">
        <f t="shared" si="17"/>
        <v>Row 18 - If ‘TEU type’ is ‘TEU’ then ‘TEU Id’ is required</v>
      </c>
      <c r="L525" t="s">
        <v>1391</v>
      </c>
    </row>
    <row r="526" spans="7:12" x14ac:dyDescent="0.25">
      <c r="G526" t="b">
        <f>IF(OR(INDEX(IHZ_HAZ_UNITTYPE,19,1)="TEU",),INDEX(IHZ_HAZ_TEUID,19,1)&lt;&gt;"",TRUE)</f>
        <v>1</v>
      </c>
      <c r="H526" t="str">
        <f t="shared" si="16"/>
        <v>Row 19 - If ‘TEU type’ is ‘TEU’ then ‘TEU Id’ is required</v>
      </c>
      <c r="I526" t="s">
        <v>1391</v>
      </c>
      <c r="J526" t="b">
        <f>IF(OR(INDEX(OHZ_HAZ_UNITTYPE,19,1)="TEU",),INDEX(OHZ_HAZ_TEUID,19,1)&lt;&gt;"",TRUE)</f>
        <v>1</v>
      </c>
      <c r="K526" t="str">
        <f t="shared" si="17"/>
        <v>Row 19 - If ‘TEU type’ is ‘TEU’ then ‘TEU Id’ is required</v>
      </c>
      <c r="L526" t="s">
        <v>1391</v>
      </c>
    </row>
    <row r="527" spans="7:12" x14ac:dyDescent="0.25">
      <c r="G527" t="b">
        <f>IF(OR(INDEX(IHZ_HAZ_UNITTYPE,20,1)="TEU",),INDEX(IHZ_HAZ_TEUID,20,1)&lt;&gt;"",TRUE)</f>
        <v>1</v>
      </c>
      <c r="H527" t="str">
        <f t="shared" si="16"/>
        <v>Row 20 - If ‘TEU type’ is ‘TEU’ then ‘TEU Id’ is required</v>
      </c>
      <c r="I527" t="s">
        <v>1391</v>
      </c>
      <c r="J527" t="b">
        <f>IF(OR(INDEX(OHZ_HAZ_UNITTYPE,20,1)="TEU",),INDEX(OHZ_HAZ_TEUID,20,1)&lt;&gt;"",TRUE)</f>
        <v>1</v>
      </c>
      <c r="K527" t="str">
        <f t="shared" si="17"/>
        <v>Row 20 - If ‘TEU type’ is ‘TEU’ then ‘TEU Id’ is required</v>
      </c>
      <c r="L527" t="s">
        <v>1391</v>
      </c>
    </row>
    <row r="528" spans="7:12" x14ac:dyDescent="0.25">
      <c r="G528" t="b">
        <f>IF(OR(INDEX(IHZ_HAZ_UNITTYPE,21,1)="TEU",),INDEX(IHZ_HAZ_TEUID,21,1)&lt;&gt;"",TRUE)</f>
        <v>1</v>
      </c>
      <c r="H528" t="str">
        <f t="shared" si="16"/>
        <v>Row 21 - If ‘TEU type’ is ‘TEU’ then ‘TEU Id’ is required</v>
      </c>
      <c r="I528" t="s">
        <v>1391</v>
      </c>
      <c r="J528" t="b">
        <f>IF(OR(INDEX(OHZ_HAZ_UNITTYPE,21,1)="TEU",),INDEX(OHZ_HAZ_TEUID,21,1)&lt;&gt;"",TRUE)</f>
        <v>1</v>
      </c>
      <c r="K528" t="str">
        <f t="shared" si="17"/>
        <v>Row 21 - If ‘TEU type’ is ‘TEU’ then ‘TEU Id’ is required</v>
      </c>
      <c r="L528" t="s">
        <v>1391</v>
      </c>
    </row>
    <row r="529" spans="7:12" x14ac:dyDescent="0.25">
      <c r="G529" t="b">
        <f>IF(OR(INDEX(IHZ_HAZ_UNITTYPE,22,1)="TEU",),INDEX(IHZ_HAZ_TEUID,22,1)&lt;&gt;"",TRUE)</f>
        <v>1</v>
      </c>
      <c r="H529" t="str">
        <f t="shared" si="16"/>
        <v>Row 22 - If ‘TEU type’ is ‘TEU’ then ‘TEU Id’ is required</v>
      </c>
      <c r="I529" t="s">
        <v>1391</v>
      </c>
      <c r="J529" t="b">
        <f>IF(OR(INDEX(OHZ_HAZ_UNITTYPE,22,1)="TEU",),INDEX(OHZ_HAZ_TEUID,22,1)&lt;&gt;"",TRUE)</f>
        <v>1</v>
      </c>
      <c r="K529" t="str">
        <f t="shared" si="17"/>
        <v>Row 22 - If ‘TEU type’ is ‘TEU’ then ‘TEU Id’ is required</v>
      </c>
      <c r="L529" t="s">
        <v>1391</v>
      </c>
    </row>
    <row r="530" spans="7:12" x14ac:dyDescent="0.25">
      <c r="G530" t="b">
        <f>IF(OR(INDEX(IHZ_HAZ_UNITTYPE,23,1)="TEU",),INDEX(IHZ_HAZ_TEUID,23,1)&lt;&gt;"",TRUE)</f>
        <v>1</v>
      </c>
      <c r="H530" t="str">
        <f t="shared" si="16"/>
        <v>Row 23 - If ‘TEU type’ is ‘TEU’ then ‘TEU Id’ is required</v>
      </c>
      <c r="I530" t="s">
        <v>1391</v>
      </c>
      <c r="J530" t="b">
        <f>IF(OR(INDEX(OHZ_HAZ_UNITTYPE,23,1)="TEU",),INDEX(OHZ_HAZ_TEUID,23,1)&lt;&gt;"",TRUE)</f>
        <v>1</v>
      </c>
      <c r="K530" t="str">
        <f t="shared" si="17"/>
        <v>Row 23 - If ‘TEU type’ is ‘TEU’ then ‘TEU Id’ is required</v>
      </c>
      <c r="L530" t="s">
        <v>1391</v>
      </c>
    </row>
    <row r="531" spans="7:12" x14ac:dyDescent="0.25">
      <c r="G531" t="b">
        <f>IF(OR(INDEX(IHZ_HAZ_UNITTYPE,24,1)="TEU",),INDEX(IHZ_HAZ_TEUID,24,1)&lt;&gt;"",TRUE)</f>
        <v>1</v>
      </c>
      <c r="H531" t="str">
        <f t="shared" si="16"/>
        <v>Row 24 - If ‘TEU type’ is ‘TEU’ then ‘TEU Id’ is required</v>
      </c>
      <c r="I531" t="s">
        <v>1391</v>
      </c>
      <c r="J531" t="b">
        <f>IF(OR(INDEX(OHZ_HAZ_UNITTYPE,24,1)="TEU",),INDEX(OHZ_HAZ_TEUID,24,1)&lt;&gt;"",TRUE)</f>
        <v>1</v>
      </c>
      <c r="K531" t="str">
        <f t="shared" si="17"/>
        <v>Row 24 - If ‘TEU type’ is ‘TEU’ then ‘TEU Id’ is required</v>
      </c>
      <c r="L531" t="s">
        <v>1391</v>
      </c>
    </row>
    <row r="532" spans="7:12" x14ac:dyDescent="0.25">
      <c r="G532" t="b">
        <f>IF(OR(INDEX(IHZ_HAZ_UNITTYPE,25,1)="TEU",),INDEX(IHZ_HAZ_TEUID,25,1)&lt;&gt;"",TRUE)</f>
        <v>1</v>
      </c>
      <c r="H532" t="str">
        <f t="shared" si="16"/>
        <v>Row 25 - If ‘TEU type’ is ‘TEU’ then ‘TEU Id’ is required</v>
      </c>
      <c r="I532" t="s">
        <v>1391</v>
      </c>
      <c r="J532" t="b">
        <f>IF(OR(INDEX(OHZ_HAZ_UNITTYPE,25,1)="TEU",),INDEX(OHZ_HAZ_TEUID,25,1)&lt;&gt;"",TRUE)</f>
        <v>1</v>
      </c>
      <c r="K532" t="str">
        <f t="shared" si="17"/>
        <v>Row 25 - If ‘TEU type’ is ‘TEU’ then ‘TEU Id’ is required</v>
      </c>
      <c r="L532" t="s">
        <v>1391</v>
      </c>
    </row>
    <row r="533" spans="7:12" x14ac:dyDescent="0.25">
      <c r="G533" t="b">
        <f>IF(OR(INDEX(IHZ_HAZ_UNITTYPE,26,1)="TEU",),INDEX(IHZ_HAZ_TEUID,26,1)&lt;&gt;"",TRUE)</f>
        <v>1</v>
      </c>
      <c r="H533" t="str">
        <f t="shared" si="16"/>
        <v>Row 26 - If ‘TEU type’ is ‘TEU’ then ‘TEU Id’ is required</v>
      </c>
      <c r="I533" t="s">
        <v>1391</v>
      </c>
      <c r="J533" t="b">
        <f>IF(OR(INDEX(OHZ_HAZ_UNITTYPE,26,1)="TEU",),INDEX(OHZ_HAZ_TEUID,26,1)&lt;&gt;"",TRUE)</f>
        <v>1</v>
      </c>
      <c r="K533" t="str">
        <f t="shared" si="17"/>
        <v>Row 26 - If ‘TEU type’ is ‘TEU’ then ‘TEU Id’ is required</v>
      </c>
      <c r="L533" t="s">
        <v>1391</v>
      </c>
    </row>
    <row r="534" spans="7:12" x14ac:dyDescent="0.25">
      <c r="G534" t="b">
        <f>IF(OR(INDEX(IHZ_HAZ_UNITTYPE,27,1)="TEU",),INDEX(IHZ_HAZ_TEUID,27,1)&lt;&gt;"",TRUE)</f>
        <v>1</v>
      </c>
      <c r="H534" t="str">
        <f t="shared" si="16"/>
        <v>Row 27 - If ‘TEU type’ is ‘TEU’ then ‘TEU Id’ is required</v>
      </c>
      <c r="I534" t="s">
        <v>1391</v>
      </c>
      <c r="J534" t="b">
        <f>IF(OR(INDEX(OHZ_HAZ_UNITTYPE,27,1)="TEU",),INDEX(OHZ_HAZ_TEUID,27,1)&lt;&gt;"",TRUE)</f>
        <v>1</v>
      </c>
      <c r="K534" t="str">
        <f t="shared" si="17"/>
        <v>Row 27 - If ‘TEU type’ is ‘TEU’ then ‘TEU Id’ is required</v>
      </c>
      <c r="L534" t="s">
        <v>1391</v>
      </c>
    </row>
    <row r="535" spans="7:12" x14ac:dyDescent="0.25">
      <c r="G535" t="b">
        <f>IF(OR(INDEX(IHZ_HAZ_UNITTYPE,28,1)="TEU",),INDEX(IHZ_HAZ_TEUID,28,1)&lt;&gt;"",TRUE)</f>
        <v>1</v>
      </c>
      <c r="H535" t="str">
        <f t="shared" si="16"/>
        <v>Row 28 - If ‘TEU type’ is ‘TEU’ then ‘TEU Id’ is required</v>
      </c>
      <c r="I535" t="s">
        <v>1391</v>
      </c>
      <c r="J535" t="b">
        <f>IF(OR(INDEX(OHZ_HAZ_UNITTYPE,28,1)="TEU",),INDEX(OHZ_HAZ_TEUID,28,1)&lt;&gt;"",TRUE)</f>
        <v>1</v>
      </c>
      <c r="K535" t="str">
        <f t="shared" si="17"/>
        <v>Row 28 - If ‘TEU type’ is ‘TEU’ then ‘TEU Id’ is required</v>
      </c>
      <c r="L535" t="s">
        <v>1391</v>
      </c>
    </row>
    <row r="536" spans="7:12" x14ac:dyDescent="0.25">
      <c r="G536" t="b">
        <f>IF(OR(INDEX(IHZ_HAZ_UNITTYPE,29,1)="TEU",),INDEX(IHZ_HAZ_TEUID,29,1)&lt;&gt;"",TRUE)</f>
        <v>1</v>
      </c>
      <c r="H536" t="str">
        <f t="shared" si="16"/>
        <v>Row 29 - If ‘TEU type’ is ‘TEU’ then ‘TEU Id’ is required</v>
      </c>
      <c r="I536" t="s">
        <v>1391</v>
      </c>
      <c r="J536" t="b">
        <f>IF(OR(INDEX(OHZ_HAZ_UNITTYPE,29,1)="TEU",),INDEX(OHZ_HAZ_TEUID,29,1)&lt;&gt;"",TRUE)</f>
        <v>1</v>
      </c>
      <c r="K536" t="str">
        <f t="shared" si="17"/>
        <v>Row 29 - If ‘TEU type’ is ‘TEU’ then ‘TEU Id’ is required</v>
      </c>
      <c r="L536" t="s">
        <v>1391</v>
      </c>
    </row>
    <row r="537" spans="7:12" x14ac:dyDescent="0.25">
      <c r="G537" t="b">
        <f>IF(OR(INDEX(IHZ_HAZ_UNITTYPE,30,1)="TEU",),INDEX(IHZ_HAZ_TEUID,30,1)&lt;&gt;"",TRUE)</f>
        <v>1</v>
      </c>
      <c r="H537" t="str">
        <f t="shared" si="16"/>
        <v>Row 30 - If ‘TEU type’ is ‘TEU’ then ‘TEU Id’ is required</v>
      </c>
      <c r="I537" t="s">
        <v>1391</v>
      </c>
      <c r="J537" t="b">
        <f>IF(OR(INDEX(OHZ_HAZ_UNITTYPE,30,1)="TEU",),INDEX(OHZ_HAZ_TEUID,30,1)&lt;&gt;"",TRUE)</f>
        <v>1</v>
      </c>
      <c r="K537" t="str">
        <f t="shared" si="17"/>
        <v>Row 30 - If ‘TEU type’ is ‘TEU’ then ‘TEU Id’ is required</v>
      </c>
      <c r="L537" t="s">
        <v>1391</v>
      </c>
    </row>
    <row r="538" spans="7:12" x14ac:dyDescent="0.25">
      <c r="G538" t="b">
        <f>IF(OR(INDEX(IHZ_HAZ_UNITTYPE,31,1)="TEU",),INDEX(IHZ_HAZ_TEUID,31,1)&lt;&gt;"",TRUE)</f>
        <v>1</v>
      </c>
      <c r="H538" t="str">
        <f t="shared" si="16"/>
        <v>Row 31 - If ‘TEU type’ is ‘TEU’ then ‘TEU Id’ is required</v>
      </c>
      <c r="I538" t="s">
        <v>1391</v>
      </c>
      <c r="J538" t="b">
        <f>IF(OR(INDEX(OHZ_HAZ_UNITTYPE,31,1)="TEU",),INDEX(OHZ_HAZ_TEUID,31,1)&lt;&gt;"",TRUE)</f>
        <v>1</v>
      </c>
      <c r="K538" t="str">
        <f t="shared" si="17"/>
        <v>Row 31 - If ‘TEU type’ is ‘TEU’ then ‘TEU Id’ is required</v>
      </c>
      <c r="L538" t="s">
        <v>1391</v>
      </c>
    </row>
    <row r="539" spans="7:12" x14ac:dyDescent="0.25">
      <c r="G539" t="b">
        <f>IF(OR(INDEX(IHZ_HAZ_UNITTYPE,32,1)="TEU",),INDEX(IHZ_HAZ_TEUID,32,1)&lt;&gt;"",TRUE)</f>
        <v>1</v>
      </c>
      <c r="H539" t="str">
        <f t="shared" si="16"/>
        <v>Row 32 - If ‘TEU type’ is ‘TEU’ then ‘TEU Id’ is required</v>
      </c>
      <c r="I539" t="s">
        <v>1391</v>
      </c>
      <c r="J539" t="b">
        <f>IF(OR(INDEX(OHZ_HAZ_UNITTYPE,32,1)="TEU",),INDEX(OHZ_HAZ_TEUID,32,1)&lt;&gt;"",TRUE)</f>
        <v>1</v>
      </c>
      <c r="K539" t="str">
        <f t="shared" si="17"/>
        <v>Row 32 - If ‘TEU type’ is ‘TEU’ then ‘TEU Id’ is required</v>
      </c>
      <c r="L539" t="s">
        <v>1391</v>
      </c>
    </row>
    <row r="540" spans="7:12" x14ac:dyDescent="0.25">
      <c r="G540" t="b">
        <f>IF(OR(INDEX(IHZ_HAZ_UNITTYPE,33,1)="TEU",),INDEX(IHZ_HAZ_TEUID,33,1)&lt;&gt;"",TRUE)</f>
        <v>1</v>
      </c>
      <c r="H540" t="str">
        <f t="shared" si="16"/>
        <v>Row 33 - If ‘TEU type’ is ‘TEU’ then ‘TEU Id’ is required</v>
      </c>
      <c r="I540" t="s">
        <v>1391</v>
      </c>
      <c r="J540" t="b">
        <f>IF(OR(INDEX(OHZ_HAZ_UNITTYPE,33,1)="TEU",),INDEX(OHZ_HAZ_TEUID,33,1)&lt;&gt;"",TRUE)</f>
        <v>1</v>
      </c>
      <c r="K540" t="str">
        <f t="shared" si="17"/>
        <v>Row 33 - If ‘TEU type’ is ‘TEU’ then ‘TEU Id’ is required</v>
      </c>
      <c r="L540" t="s">
        <v>1391</v>
      </c>
    </row>
    <row r="541" spans="7:12" x14ac:dyDescent="0.25">
      <c r="G541" t="b">
        <f>IF(OR(INDEX(IHZ_HAZ_UNITTYPE,34,1)="TEU",),INDEX(IHZ_HAZ_TEUID,34,1)&lt;&gt;"",TRUE)</f>
        <v>1</v>
      </c>
      <c r="H541" t="str">
        <f t="shared" si="16"/>
        <v>Row 34 - If ‘TEU type’ is ‘TEU’ then ‘TEU Id’ is required</v>
      </c>
      <c r="I541" t="s">
        <v>1391</v>
      </c>
      <c r="J541" t="b">
        <f>IF(OR(INDEX(OHZ_HAZ_UNITTYPE,34,1)="TEU",),INDEX(OHZ_HAZ_TEUID,34,1)&lt;&gt;"",TRUE)</f>
        <v>1</v>
      </c>
      <c r="K541" t="str">
        <f t="shared" si="17"/>
        <v>Row 34 - If ‘TEU type’ is ‘TEU’ then ‘TEU Id’ is required</v>
      </c>
      <c r="L541" t="s">
        <v>1391</v>
      </c>
    </row>
    <row r="542" spans="7:12" x14ac:dyDescent="0.25">
      <c r="G542" t="b">
        <f>IF(OR(INDEX(IHZ_HAZ_UNITTYPE,35,1)="TEU",),INDEX(IHZ_HAZ_TEUID,35,1)&lt;&gt;"",TRUE)</f>
        <v>1</v>
      </c>
      <c r="H542" t="str">
        <f t="shared" si="16"/>
        <v>Row 35 - If ‘TEU type’ is ‘TEU’ then ‘TEU Id’ is required</v>
      </c>
      <c r="I542" t="s">
        <v>1391</v>
      </c>
      <c r="J542" t="b">
        <f>IF(OR(INDEX(OHZ_HAZ_UNITTYPE,35,1)="TEU",),INDEX(OHZ_HAZ_TEUID,35,1)&lt;&gt;"",TRUE)</f>
        <v>1</v>
      </c>
      <c r="K542" t="str">
        <f t="shared" si="17"/>
        <v>Row 35 - If ‘TEU type’ is ‘TEU’ then ‘TEU Id’ is required</v>
      </c>
      <c r="L542" t="s">
        <v>1391</v>
      </c>
    </row>
    <row r="543" spans="7:12" x14ac:dyDescent="0.25">
      <c r="G543" t="b">
        <f>IF(OR(INDEX(IHZ_HAZ_UNITTYPE,36,1)="TEU",),INDEX(IHZ_HAZ_TEUID,36,1)&lt;&gt;"",TRUE)</f>
        <v>1</v>
      </c>
      <c r="H543" t="str">
        <f t="shared" si="16"/>
        <v>Row 36 - If ‘TEU type’ is ‘TEU’ then ‘TEU Id’ is required</v>
      </c>
      <c r="I543" t="s">
        <v>1391</v>
      </c>
      <c r="J543" t="b">
        <f>IF(OR(INDEX(OHZ_HAZ_UNITTYPE,36,1)="TEU",),INDEX(OHZ_HAZ_TEUID,36,1)&lt;&gt;"",TRUE)</f>
        <v>1</v>
      </c>
      <c r="K543" t="str">
        <f t="shared" si="17"/>
        <v>Row 36 - If ‘TEU type’ is ‘TEU’ then ‘TEU Id’ is required</v>
      </c>
      <c r="L543" t="s">
        <v>1391</v>
      </c>
    </row>
    <row r="544" spans="7:12" x14ac:dyDescent="0.25">
      <c r="G544" t="b">
        <f>IF(OR(INDEX(IHZ_HAZ_UNITTYPE,37,1)="TEU",),INDEX(IHZ_HAZ_TEUID,37,1)&lt;&gt;"",TRUE)</f>
        <v>1</v>
      </c>
      <c r="H544" t="str">
        <f t="shared" si="16"/>
        <v>Row 37 - If ‘TEU type’ is ‘TEU’ then ‘TEU Id’ is required</v>
      </c>
      <c r="I544" t="s">
        <v>1391</v>
      </c>
      <c r="J544" t="b">
        <f>IF(OR(INDEX(OHZ_HAZ_UNITTYPE,37,1)="TEU",),INDEX(OHZ_HAZ_TEUID,37,1)&lt;&gt;"",TRUE)</f>
        <v>1</v>
      </c>
      <c r="K544" t="str">
        <f t="shared" si="17"/>
        <v>Row 37 - If ‘TEU type’ is ‘TEU’ then ‘TEU Id’ is required</v>
      </c>
      <c r="L544" t="s">
        <v>1391</v>
      </c>
    </row>
    <row r="545" spans="7:12" x14ac:dyDescent="0.25">
      <c r="G545" t="b">
        <f>IF(OR(INDEX(IHZ_HAZ_UNITTYPE,38,1)="TEU",),INDEX(IHZ_HAZ_TEUID,38,1)&lt;&gt;"",TRUE)</f>
        <v>1</v>
      </c>
      <c r="H545" t="str">
        <f t="shared" si="16"/>
        <v>Row 38 - If ‘TEU type’ is ‘TEU’ then ‘TEU Id’ is required</v>
      </c>
      <c r="I545" t="s">
        <v>1391</v>
      </c>
      <c r="J545" t="b">
        <f>IF(OR(INDEX(OHZ_HAZ_UNITTYPE,38,1)="TEU",),INDEX(OHZ_HAZ_TEUID,38,1)&lt;&gt;"",TRUE)</f>
        <v>1</v>
      </c>
      <c r="K545" t="str">
        <f t="shared" si="17"/>
        <v>Row 38 - If ‘TEU type’ is ‘TEU’ then ‘TEU Id’ is required</v>
      </c>
      <c r="L545" t="s">
        <v>1391</v>
      </c>
    </row>
    <row r="546" spans="7:12" x14ac:dyDescent="0.25">
      <c r="G546" t="b">
        <f>IF(OR(INDEX(IHZ_HAZ_UNITTYPE,39,1)="TEU",),INDEX(IHZ_HAZ_TEUID,39,1)&lt;&gt;"",TRUE)</f>
        <v>1</v>
      </c>
      <c r="H546" t="str">
        <f t="shared" si="16"/>
        <v>Row 39 - If ‘TEU type’ is ‘TEU’ then ‘TEU Id’ is required</v>
      </c>
      <c r="I546" t="s">
        <v>1391</v>
      </c>
      <c r="J546" t="b">
        <f>IF(OR(INDEX(OHZ_HAZ_UNITTYPE,39,1)="TEU",),INDEX(OHZ_HAZ_TEUID,39,1)&lt;&gt;"",TRUE)</f>
        <v>1</v>
      </c>
      <c r="K546" t="str">
        <f t="shared" si="17"/>
        <v>Row 39 - If ‘TEU type’ is ‘TEU’ then ‘TEU Id’ is required</v>
      </c>
      <c r="L546" t="s">
        <v>1391</v>
      </c>
    </row>
    <row r="547" spans="7:12" x14ac:dyDescent="0.25">
      <c r="G547" t="b">
        <f>IF(OR(INDEX(IHZ_HAZ_UNITTYPE,40,1)="TEU",),INDEX(IHZ_HAZ_TEUID,40,1)&lt;&gt;"",TRUE)</f>
        <v>1</v>
      </c>
      <c r="H547" t="str">
        <f t="shared" si="16"/>
        <v>Row 40 - If ‘TEU type’ is ‘TEU’ then ‘TEU Id’ is required</v>
      </c>
      <c r="I547" t="s">
        <v>1391</v>
      </c>
      <c r="J547" t="b">
        <f>IF(OR(INDEX(OHZ_HAZ_UNITTYPE,40,1)="TEU",),INDEX(OHZ_HAZ_TEUID,40,1)&lt;&gt;"",TRUE)</f>
        <v>1</v>
      </c>
      <c r="K547" t="str">
        <f t="shared" si="17"/>
        <v>Row 40 - If ‘TEU type’ is ‘TEU’ then ‘TEU Id’ is required</v>
      </c>
      <c r="L547" t="s">
        <v>1391</v>
      </c>
    </row>
    <row r="548" spans="7:12" x14ac:dyDescent="0.25">
      <c r="G548" t="b">
        <f>IF(OR(INDEX(IHZ_HAZ_UNITTYPE,41,1)="TEU",),INDEX(IHZ_HAZ_TEUID,41,1)&lt;&gt;"",TRUE)</f>
        <v>1</v>
      </c>
      <c r="H548" t="str">
        <f t="shared" si="16"/>
        <v>Row 41 - If ‘TEU type’ is ‘TEU’ then ‘TEU Id’ is required</v>
      </c>
      <c r="I548" t="s">
        <v>1391</v>
      </c>
      <c r="J548" t="b">
        <f>IF(OR(INDEX(OHZ_HAZ_UNITTYPE,41,1)="TEU",),INDEX(OHZ_HAZ_TEUID,41,1)&lt;&gt;"",TRUE)</f>
        <v>1</v>
      </c>
      <c r="K548" t="str">
        <f t="shared" si="17"/>
        <v>Row 41 - If ‘TEU type’ is ‘TEU’ then ‘TEU Id’ is required</v>
      </c>
      <c r="L548" t="s">
        <v>1391</v>
      </c>
    </row>
    <row r="549" spans="7:12" x14ac:dyDescent="0.25">
      <c r="G549" t="b">
        <f>IF(OR(INDEX(IHZ_HAZ_UNITTYPE,42,1)="TEU",),INDEX(IHZ_HAZ_TEUID,42,1)&lt;&gt;"",TRUE)</f>
        <v>1</v>
      </c>
      <c r="H549" t="str">
        <f t="shared" si="16"/>
        <v>Row 42 - If ‘TEU type’ is ‘TEU’ then ‘TEU Id’ is required</v>
      </c>
      <c r="I549" t="s">
        <v>1391</v>
      </c>
      <c r="J549" t="b">
        <f>IF(OR(INDEX(OHZ_HAZ_UNITTYPE,42,1)="TEU",),INDEX(OHZ_HAZ_TEUID,42,1)&lt;&gt;"",TRUE)</f>
        <v>1</v>
      </c>
      <c r="K549" t="str">
        <f t="shared" si="17"/>
        <v>Row 42 - If ‘TEU type’ is ‘TEU’ then ‘TEU Id’ is required</v>
      </c>
      <c r="L549" t="s">
        <v>1391</v>
      </c>
    </row>
    <row r="550" spans="7:12" x14ac:dyDescent="0.25">
      <c r="G550" t="b">
        <f>IF(OR(INDEX(IHZ_HAZ_UNITTYPE,43,1)="TEU",),INDEX(IHZ_HAZ_TEUID,43,1)&lt;&gt;"",TRUE)</f>
        <v>1</v>
      </c>
      <c r="H550" t="str">
        <f t="shared" si="16"/>
        <v>Row 43 - If ‘TEU type’ is ‘TEU’ then ‘TEU Id’ is required</v>
      </c>
      <c r="I550" t="s">
        <v>1391</v>
      </c>
      <c r="J550" t="b">
        <f>IF(OR(INDEX(OHZ_HAZ_UNITTYPE,43,1)="TEU",),INDEX(OHZ_HAZ_TEUID,43,1)&lt;&gt;"",TRUE)</f>
        <v>1</v>
      </c>
      <c r="K550" t="str">
        <f t="shared" si="17"/>
        <v>Row 43 - If ‘TEU type’ is ‘TEU’ then ‘TEU Id’ is required</v>
      </c>
      <c r="L550" t="s">
        <v>1391</v>
      </c>
    </row>
    <row r="551" spans="7:12" x14ac:dyDescent="0.25">
      <c r="G551" t="b">
        <f>IF(OR(INDEX(IHZ_HAZ_UNITTYPE,44,1)="TEU",),INDEX(IHZ_HAZ_TEUID,44,1)&lt;&gt;"",TRUE)</f>
        <v>1</v>
      </c>
      <c r="H551" t="str">
        <f t="shared" si="16"/>
        <v>Row 44 - If ‘TEU type’ is ‘TEU’ then ‘TEU Id’ is required</v>
      </c>
      <c r="I551" t="s">
        <v>1391</v>
      </c>
      <c r="J551" t="b">
        <f>IF(OR(INDEX(OHZ_HAZ_UNITTYPE,44,1)="TEU",),INDEX(OHZ_HAZ_TEUID,44,1)&lt;&gt;"",TRUE)</f>
        <v>1</v>
      </c>
      <c r="K551" t="str">
        <f t="shared" si="17"/>
        <v>Row 44 - If ‘TEU type’ is ‘TEU’ then ‘TEU Id’ is required</v>
      </c>
      <c r="L551" t="s">
        <v>1391</v>
      </c>
    </row>
    <row r="552" spans="7:12" x14ac:dyDescent="0.25">
      <c r="G552" t="b">
        <f>IF(OR(INDEX(IHZ_HAZ_UNITTYPE,45,1)="TEU",),INDEX(IHZ_HAZ_TEUID,45,1)&lt;&gt;"",TRUE)</f>
        <v>1</v>
      </c>
      <c r="H552" t="str">
        <f t="shared" si="16"/>
        <v>Row 45 - If ‘TEU type’ is ‘TEU’ then ‘TEU Id’ is required</v>
      </c>
      <c r="I552" t="s">
        <v>1391</v>
      </c>
      <c r="J552" t="b">
        <f>IF(OR(INDEX(OHZ_HAZ_UNITTYPE,45,1)="TEU",),INDEX(OHZ_HAZ_TEUID,45,1)&lt;&gt;"",TRUE)</f>
        <v>1</v>
      </c>
      <c r="K552" t="str">
        <f t="shared" si="17"/>
        <v>Row 45 - If ‘TEU type’ is ‘TEU’ then ‘TEU Id’ is required</v>
      </c>
      <c r="L552" t="s">
        <v>1391</v>
      </c>
    </row>
    <row r="553" spans="7:12" x14ac:dyDescent="0.25">
      <c r="G553" t="b">
        <f>IF(OR(INDEX(IHZ_HAZ_UNITTYPE,46,1)="TEU",),INDEX(IHZ_HAZ_TEUID,46,1)&lt;&gt;"",TRUE)</f>
        <v>1</v>
      </c>
      <c r="H553" t="str">
        <f t="shared" si="16"/>
        <v>Row 46 - If ‘TEU type’ is ‘TEU’ then ‘TEU Id’ is required</v>
      </c>
      <c r="I553" t="s">
        <v>1391</v>
      </c>
      <c r="J553" t="b">
        <f>IF(OR(INDEX(OHZ_HAZ_UNITTYPE,46,1)="TEU",),INDEX(OHZ_HAZ_TEUID,46,1)&lt;&gt;"",TRUE)</f>
        <v>1</v>
      </c>
      <c r="K553" t="str">
        <f t="shared" si="17"/>
        <v>Row 46 - If ‘TEU type’ is ‘TEU’ then ‘TEU Id’ is required</v>
      </c>
      <c r="L553" t="s">
        <v>1391</v>
      </c>
    </row>
    <row r="554" spans="7:12" x14ac:dyDescent="0.25">
      <c r="G554" t="b">
        <f>IF(OR(INDEX(IHZ_HAZ_UNITTYPE,47,1)="TEU",),INDEX(IHZ_HAZ_TEUID,47,1)&lt;&gt;"",TRUE)</f>
        <v>1</v>
      </c>
      <c r="H554" t="str">
        <f t="shared" si="16"/>
        <v>Row 47 - If ‘TEU type’ is ‘TEU’ then ‘TEU Id’ is required</v>
      </c>
      <c r="I554" t="s">
        <v>1391</v>
      </c>
      <c r="J554" t="b">
        <f>IF(OR(INDEX(OHZ_HAZ_UNITTYPE,47,1)="TEU",),INDEX(OHZ_HAZ_TEUID,47,1)&lt;&gt;"",TRUE)</f>
        <v>1</v>
      </c>
      <c r="K554" t="str">
        <f t="shared" si="17"/>
        <v>Row 47 - If ‘TEU type’ is ‘TEU’ then ‘TEU Id’ is required</v>
      </c>
      <c r="L554" t="s">
        <v>1391</v>
      </c>
    </row>
    <row r="555" spans="7:12" x14ac:dyDescent="0.25">
      <c r="G555" t="b">
        <f>IF(OR(INDEX(IHZ_HAZ_UNITTYPE,48,1)="TEU",),INDEX(IHZ_HAZ_TEUID,48,1)&lt;&gt;"",TRUE)</f>
        <v>1</v>
      </c>
      <c r="H555" t="str">
        <f t="shared" si="16"/>
        <v>Row 48 - If ‘TEU type’ is ‘TEU’ then ‘TEU Id’ is required</v>
      </c>
      <c r="I555" t="s">
        <v>1391</v>
      </c>
      <c r="J555" t="b">
        <f>IF(OR(INDEX(OHZ_HAZ_UNITTYPE,48,1)="TEU",),INDEX(OHZ_HAZ_TEUID,48,1)&lt;&gt;"",TRUE)</f>
        <v>1</v>
      </c>
      <c r="K555" t="str">
        <f t="shared" si="17"/>
        <v>Row 48 - If ‘TEU type’ is ‘TEU’ then ‘TEU Id’ is required</v>
      </c>
      <c r="L555" t="s">
        <v>1391</v>
      </c>
    </row>
    <row r="556" spans="7:12" x14ac:dyDescent="0.25">
      <c r="G556" t="b">
        <f>IF(OR(INDEX(IHZ_HAZ_UNITTYPE,49,1)="TEU",),INDEX(IHZ_HAZ_TEUID,49,1)&lt;&gt;"",TRUE)</f>
        <v>1</v>
      </c>
      <c r="H556" t="str">
        <f t="shared" si="16"/>
        <v>Row 49 - If ‘TEU type’ is ‘TEU’ then ‘TEU Id’ is required</v>
      </c>
      <c r="I556" t="s">
        <v>1391</v>
      </c>
      <c r="J556" t="b">
        <f>IF(OR(INDEX(OHZ_HAZ_UNITTYPE,49,1)="TEU",),INDEX(OHZ_HAZ_TEUID,49,1)&lt;&gt;"",TRUE)</f>
        <v>1</v>
      </c>
      <c r="K556" t="str">
        <f t="shared" si="17"/>
        <v>Row 49 - If ‘TEU type’ is ‘TEU’ then ‘TEU Id’ is required</v>
      </c>
      <c r="L556" t="s">
        <v>1391</v>
      </c>
    </row>
    <row r="557" spans="7:12" x14ac:dyDescent="0.25">
      <c r="G557" t="b">
        <f>IF(OR(INDEX(IHZ_HAZ_UNITTYPE,50,1)="TEU",),INDEX(IHZ_HAZ_TEUID,50,1)&lt;&gt;"",TRUE)</f>
        <v>1</v>
      </c>
      <c r="H557" t="str">
        <f t="shared" si="16"/>
        <v>Row 50 - If ‘TEU type’ is ‘TEU’ then ‘TEU Id’ is required</v>
      </c>
      <c r="I557" t="s">
        <v>1391</v>
      </c>
      <c r="J557" t="b">
        <f>IF(OR(INDEX(OHZ_HAZ_UNITTYPE,50,1)="TEU",),INDEX(OHZ_HAZ_TEUID,50,1)&lt;&gt;"",TRUE)</f>
        <v>1</v>
      </c>
      <c r="K557" t="str">
        <f t="shared" si="17"/>
        <v>Row 50 - If ‘TEU type’ is ‘TEU’ then ‘TEU Id’ is required</v>
      </c>
      <c r="L557" t="s">
        <v>1391</v>
      </c>
    </row>
    <row r="558" spans="7:12" x14ac:dyDescent="0.25">
      <c r="G558" t="b">
        <f>IF(OR(INDEX(IHZ_HAZ_UNITTYPE,51,1)="TEU",),INDEX(IHZ_HAZ_TEUID,51,1)&lt;&gt;"",TRUE)</f>
        <v>1</v>
      </c>
      <c r="H558" t="str">
        <f t="shared" si="16"/>
        <v>Row 51 - If ‘TEU type’ is ‘TEU’ then ‘TEU Id’ is required</v>
      </c>
      <c r="I558" t="s">
        <v>1391</v>
      </c>
      <c r="J558" t="b">
        <f>IF(OR(INDEX(OHZ_HAZ_UNITTYPE,51,1)="TEU",),INDEX(OHZ_HAZ_TEUID,51,1)&lt;&gt;"",TRUE)</f>
        <v>1</v>
      </c>
      <c r="K558" t="str">
        <f t="shared" si="17"/>
        <v>Row 51 - If ‘TEU type’ is ‘TEU’ then ‘TEU Id’ is required</v>
      </c>
      <c r="L558" t="s">
        <v>1391</v>
      </c>
    </row>
    <row r="559" spans="7:12" x14ac:dyDescent="0.25">
      <c r="G559" t="b">
        <f>IF(OR(INDEX(IHZ_HAZ_UNITTYPE,52,1)="TEU",),INDEX(IHZ_HAZ_TEUID,52,1)&lt;&gt;"",TRUE)</f>
        <v>1</v>
      </c>
      <c r="H559" t="str">
        <f t="shared" si="16"/>
        <v>Row 52 - If ‘TEU type’ is ‘TEU’ then ‘TEU Id’ is required</v>
      </c>
      <c r="I559" t="s">
        <v>1391</v>
      </c>
      <c r="J559" t="b">
        <f>IF(OR(INDEX(OHZ_HAZ_UNITTYPE,52,1)="TEU",),INDEX(OHZ_HAZ_TEUID,52,1)&lt;&gt;"",TRUE)</f>
        <v>1</v>
      </c>
      <c r="K559" t="str">
        <f t="shared" si="17"/>
        <v>Row 52 - If ‘TEU type’ is ‘TEU’ then ‘TEU Id’ is required</v>
      </c>
      <c r="L559" t="s">
        <v>1391</v>
      </c>
    </row>
    <row r="560" spans="7:12" x14ac:dyDescent="0.25">
      <c r="G560" t="b">
        <f>IF(OR(INDEX(IHZ_HAZ_UNITTYPE,53,1)="TEU",),INDEX(IHZ_HAZ_TEUID,53,1)&lt;&gt;"",TRUE)</f>
        <v>1</v>
      </c>
      <c r="H560" t="str">
        <f t="shared" si="16"/>
        <v>Row 53 - If ‘TEU type’ is ‘TEU’ then ‘TEU Id’ is required</v>
      </c>
      <c r="I560" t="s">
        <v>1391</v>
      </c>
      <c r="J560" t="b">
        <f>IF(OR(INDEX(OHZ_HAZ_UNITTYPE,53,1)="TEU",),INDEX(OHZ_HAZ_TEUID,53,1)&lt;&gt;"",TRUE)</f>
        <v>1</v>
      </c>
      <c r="K560" t="str">
        <f t="shared" si="17"/>
        <v>Row 53 - If ‘TEU type’ is ‘TEU’ then ‘TEU Id’ is required</v>
      </c>
      <c r="L560" t="s">
        <v>1391</v>
      </c>
    </row>
    <row r="561" spans="7:12" x14ac:dyDescent="0.25">
      <c r="G561" t="b">
        <f>IF(OR(INDEX(IHZ_HAZ_UNITTYPE,54,1)="TEU",),INDEX(IHZ_HAZ_TEUID,54,1)&lt;&gt;"",TRUE)</f>
        <v>1</v>
      </c>
      <c r="H561" t="str">
        <f t="shared" si="16"/>
        <v>Row 54 - If ‘TEU type’ is ‘TEU’ then ‘TEU Id’ is required</v>
      </c>
      <c r="I561" t="s">
        <v>1391</v>
      </c>
      <c r="J561" t="b">
        <f>IF(OR(INDEX(OHZ_HAZ_UNITTYPE,54,1)="TEU",),INDEX(OHZ_HAZ_TEUID,54,1)&lt;&gt;"",TRUE)</f>
        <v>1</v>
      </c>
      <c r="K561" t="str">
        <f t="shared" si="17"/>
        <v>Row 54 - If ‘TEU type’ is ‘TEU’ then ‘TEU Id’ is required</v>
      </c>
      <c r="L561" t="s">
        <v>1391</v>
      </c>
    </row>
    <row r="562" spans="7:12" x14ac:dyDescent="0.25">
      <c r="G562" t="b">
        <f>IF(OR(INDEX(IHZ_HAZ_UNITTYPE,55,1)="TEU",),INDEX(IHZ_HAZ_TEUID,55,1)&lt;&gt;"",TRUE)</f>
        <v>1</v>
      </c>
      <c r="H562" t="str">
        <f t="shared" si="16"/>
        <v>Row 55 - If ‘TEU type’ is ‘TEU’ then ‘TEU Id’ is required</v>
      </c>
      <c r="I562" t="s">
        <v>1391</v>
      </c>
      <c r="J562" t="b">
        <f>IF(OR(INDEX(OHZ_HAZ_UNITTYPE,55,1)="TEU",),INDEX(OHZ_HAZ_TEUID,55,1)&lt;&gt;"",TRUE)</f>
        <v>1</v>
      </c>
      <c r="K562" t="str">
        <f t="shared" si="17"/>
        <v>Row 55 - If ‘TEU type’ is ‘TEU’ then ‘TEU Id’ is required</v>
      </c>
      <c r="L562" t="s">
        <v>1391</v>
      </c>
    </row>
    <row r="563" spans="7:12" x14ac:dyDescent="0.25">
      <c r="G563" t="b">
        <f>IF(OR(INDEX(IHZ_HAZ_UNITTYPE,56,1)="TEU",),INDEX(IHZ_HAZ_TEUID,56,1)&lt;&gt;"",TRUE)</f>
        <v>1</v>
      </c>
      <c r="H563" t="str">
        <f t="shared" si="16"/>
        <v>Row 56 - If ‘TEU type’ is ‘TEU’ then ‘TEU Id’ is required</v>
      </c>
      <c r="I563" t="s">
        <v>1391</v>
      </c>
      <c r="J563" t="b">
        <f>IF(OR(INDEX(OHZ_HAZ_UNITTYPE,56,1)="TEU",),INDEX(OHZ_HAZ_TEUID,56,1)&lt;&gt;"",TRUE)</f>
        <v>1</v>
      </c>
      <c r="K563" t="str">
        <f t="shared" si="17"/>
        <v>Row 56 - If ‘TEU type’ is ‘TEU’ then ‘TEU Id’ is required</v>
      </c>
      <c r="L563" t="s">
        <v>1391</v>
      </c>
    </row>
    <row r="564" spans="7:12" x14ac:dyDescent="0.25">
      <c r="G564" t="b">
        <f>IF(OR(INDEX(IHZ_HAZ_UNITTYPE,57,1)="TEU",),INDEX(IHZ_HAZ_TEUID,57,1)&lt;&gt;"",TRUE)</f>
        <v>1</v>
      </c>
      <c r="H564" t="str">
        <f t="shared" si="16"/>
        <v>Row 57 - If ‘TEU type’ is ‘TEU’ then ‘TEU Id’ is required</v>
      </c>
      <c r="I564" t="s">
        <v>1391</v>
      </c>
      <c r="J564" t="b">
        <f>IF(OR(INDEX(OHZ_HAZ_UNITTYPE,57,1)="TEU",),INDEX(OHZ_HAZ_TEUID,57,1)&lt;&gt;"",TRUE)</f>
        <v>1</v>
      </c>
      <c r="K564" t="str">
        <f t="shared" si="17"/>
        <v>Row 57 - If ‘TEU type’ is ‘TEU’ then ‘TEU Id’ is required</v>
      </c>
      <c r="L564" t="s">
        <v>1391</v>
      </c>
    </row>
    <row r="565" spans="7:12" x14ac:dyDescent="0.25">
      <c r="G565" t="b">
        <f>IF(OR(INDEX(IHZ_HAZ_UNITTYPE,58,1)="TEU",),INDEX(IHZ_HAZ_TEUID,58,1)&lt;&gt;"",TRUE)</f>
        <v>1</v>
      </c>
      <c r="H565" t="str">
        <f t="shared" si="16"/>
        <v>Row 58 - If ‘TEU type’ is ‘TEU’ then ‘TEU Id’ is required</v>
      </c>
      <c r="I565" t="s">
        <v>1391</v>
      </c>
      <c r="J565" t="b">
        <f>IF(OR(INDEX(OHZ_HAZ_UNITTYPE,58,1)="TEU",),INDEX(OHZ_HAZ_TEUID,58,1)&lt;&gt;"",TRUE)</f>
        <v>1</v>
      </c>
      <c r="K565" t="str">
        <f t="shared" si="17"/>
        <v>Row 58 - If ‘TEU type’ is ‘TEU’ then ‘TEU Id’ is required</v>
      </c>
      <c r="L565" t="s">
        <v>1391</v>
      </c>
    </row>
    <row r="566" spans="7:12" x14ac:dyDescent="0.25">
      <c r="G566" t="b">
        <f>IF(OR(INDEX(IHZ_HAZ_UNITTYPE,59,1)="TEU",),INDEX(IHZ_HAZ_TEUID,59,1)&lt;&gt;"",TRUE)</f>
        <v>1</v>
      </c>
      <c r="H566" t="str">
        <f t="shared" si="16"/>
        <v>Row 59 - If ‘TEU type’ is ‘TEU’ then ‘TEU Id’ is required</v>
      </c>
      <c r="I566" t="s">
        <v>1391</v>
      </c>
      <c r="J566" t="b">
        <f>IF(OR(INDEX(OHZ_HAZ_UNITTYPE,59,1)="TEU",),INDEX(OHZ_HAZ_TEUID,59,1)&lt;&gt;"",TRUE)</f>
        <v>1</v>
      </c>
      <c r="K566" t="str">
        <f t="shared" si="17"/>
        <v>Row 59 - If ‘TEU type’ is ‘TEU’ then ‘TEU Id’ is required</v>
      </c>
      <c r="L566" t="s">
        <v>1391</v>
      </c>
    </row>
    <row r="567" spans="7:12" x14ac:dyDescent="0.25">
      <c r="G567" t="b">
        <f>IF(OR(INDEX(IHZ_HAZ_UNITTYPE,60,1)="TEU",),INDEX(IHZ_HAZ_TEUID,60,1)&lt;&gt;"",TRUE)</f>
        <v>1</v>
      </c>
      <c r="H567" t="str">
        <f t="shared" si="16"/>
        <v>Row 60 - If ‘TEU type’ is ‘TEU’ then ‘TEU Id’ is required</v>
      </c>
      <c r="I567" t="s">
        <v>1391</v>
      </c>
      <c r="J567" t="b">
        <f>IF(OR(INDEX(OHZ_HAZ_UNITTYPE,60,1)="TEU",),INDEX(OHZ_HAZ_TEUID,60,1)&lt;&gt;"",TRUE)</f>
        <v>1</v>
      </c>
      <c r="K567" t="str">
        <f t="shared" si="17"/>
        <v>Row 60 - If ‘TEU type’ is ‘TEU’ then ‘TEU Id’ is required</v>
      </c>
      <c r="L567" t="s">
        <v>1391</v>
      </c>
    </row>
    <row r="568" spans="7:12" x14ac:dyDescent="0.25">
      <c r="G568" t="b">
        <f>IF(OR(INDEX(IHZ_HAZ_UNITTYPE,61,1)="TEU",),INDEX(IHZ_HAZ_TEUID,61,1)&lt;&gt;"",TRUE)</f>
        <v>1</v>
      </c>
      <c r="H568" t="str">
        <f t="shared" si="16"/>
        <v>Row 61 - If ‘TEU type’ is ‘TEU’ then ‘TEU Id’ is required</v>
      </c>
      <c r="I568" t="s">
        <v>1391</v>
      </c>
      <c r="J568" t="b">
        <f>IF(OR(INDEX(OHZ_HAZ_UNITTYPE,61,1)="TEU",),INDEX(OHZ_HAZ_TEUID,61,1)&lt;&gt;"",TRUE)</f>
        <v>1</v>
      </c>
      <c r="K568" t="str">
        <f t="shared" si="17"/>
        <v>Row 61 - If ‘TEU type’ is ‘TEU’ then ‘TEU Id’ is required</v>
      </c>
      <c r="L568" t="s">
        <v>1391</v>
      </c>
    </row>
    <row r="569" spans="7:12" x14ac:dyDescent="0.25">
      <c r="G569" t="b">
        <f>IF(OR(INDEX(IHZ_HAZ_UNITTYPE,62,1)="TEU",),INDEX(IHZ_HAZ_TEUID,62,1)&lt;&gt;"",TRUE)</f>
        <v>1</v>
      </c>
      <c r="H569" t="str">
        <f t="shared" si="16"/>
        <v>Row 62 - If ‘TEU type’ is ‘TEU’ then ‘TEU Id’ is required</v>
      </c>
      <c r="I569" t="s">
        <v>1391</v>
      </c>
      <c r="J569" t="b">
        <f>IF(OR(INDEX(OHZ_HAZ_UNITTYPE,62,1)="TEU",),INDEX(OHZ_HAZ_TEUID,62,1)&lt;&gt;"",TRUE)</f>
        <v>1</v>
      </c>
      <c r="K569" t="str">
        <f t="shared" si="17"/>
        <v>Row 62 - If ‘TEU type’ is ‘TEU’ then ‘TEU Id’ is required</v>
      </c>
      <c r="L569" t="s">
        <v>1391</v>
      </c>
    </row>
    <row r="570" spans="7:12" x14ac:dyDescent="0.25">
      <c r="G570" t="b">
        <f>IF(OR(INDEX(IHZ_HAZ_UNITTYPE,63,1)="TEU",),INDEX(IHZ_HAZ_TEUID,63,1)&lt;&gt;"",TRUE)</f>
        <v>1</v>
      </c>
      <c r="H570" t="str">
        <f t="shared" si="16"/>
        <v>Row 63 - If ‘TEU type’ is ‘TEU’ then ‘TEU Id’ is required</v>
      </c>
      <c r="I570" t="s">
        <v>1391</v>
      </c>
      <c r="J570" t="b">
        <f>IF(OR(INDEX(OHZ_HAZ_UNITTYPE,63,1)="TEU",),INDEX(OHZ_HAZ_TEUID,63,1)&lt;&gt;"",TRUE)</f>
        <v>1</v>
      </c>
      <c r="K570" t="str">
        <f t="shared" si="17"/>
        <v>Row 63 - If ‘TEU type’ is ‘TEU’ then ‘TEU Id’ is required</v>
      </c>
      <c r="L570" t="s">
        <v>1391</v>
      </c>
    </row>
    <row r="571" spans="7:12" x14ac:dyDescent="0.25">
      <c r="G571" t="b">
        <f>IF(OR(INDEX(IHZ_HAZ_UNITTYPE,64,1)="TEU",),INDEX(IHZ_HAZ_TEUID,64,1)&lt;&gt;"",TRUE)</f>
        <v>1</v>
      </c>
      <c r="H571" t="str">
        <f t="shared" si="16"/>
        <v>Row 64 - If ‘TEU type’ is ‘TEU’ then ‘TEU Id’ is required</v>
      </c>
      <c r="I571" t="s">
        <v>1391</v>
      </c>
      <c r="J571" t="b">
        <f>IF(OR(INDEX(OHZ_HAZ_UNITTYPE,64,1)="TEU",),INDEX(OHZ_HAZ_TEUID,64,1)&lt;&gt;"",TRUE)</f>
        <v>1</v>
      </c>
      <c r="K571" t="str">
        <f t="shared" si="17"/>
        <v>Row 64 - If ‘TEU type’ is ‘TEU’ then ‘TEU Id’ is required</v>
      </c>
      <c r="L571" t="s">
        <v>1391</v>
      </c>
    </row>
    <row r="572" spans="7:12" x14ac:dyDescent="0.25">
      <c r="G572" t="b">
        <f>IF(OR(INDEX(IHZ_HAZ_UNITTYPE,65,1)="TEU",),INDEX(IHZ_HAZ_TEUID,65,1)&lt;&gt;"",TRUE)</f>
        <v>1</v>
      </c>
      <c r="H572" t="str">
        <f t="shared" si="16"/>
        <v>Row 65 - If ‘TEU type’ is ‘TEU’ then ‘TEU Id’ is required</v>
      </c>
      <c r="I572" t="s">
        <v>1391</v>
      </c>
      <c r="J572" t="b">
        <f>IF(OR(INDEX(OHZ_HAZ_UNITTYPE,65,1)="TEU",),INDEX(OHZ_HAZ_TEUID,65,1)&lt;&gt;"",TRUE)</f>
        <v>1</v>
      </c>
      <c r="K572" t="str">
        <f t="shared" si="17"/>
        <v>Row 65 - If ‘TEU type’ is ‘TEU’ then ‘TEU Id’ is required</v>
      </c>
      <c r="L572" t="s">
        <v>1391</v>
      </c>
    </row>
    <row r="573" spans="7:12" x14ac:dyDescent="0.25">
      <c r="G573" t="b">
        <f>IF(OR(INDEX(IHZ_HAZ_UNITTYPE,66,1)="TEU",),INDEX(IHZ_HAZ_TEUID,66,1)&lt;&gt;"",TRUE)</f>
        <v>1</v>
      </c>
      <c r="H573" t="str">
        <f t="shared" ref="H573:H636" si="18">T66&amp;$V$3</f>
        <v>Row 66 - If ‘TEU type’ is ‘TEU’ then ‘TEU Id’ is required</v>
      </c>
      <c r="I573" t="s">
        <v>1391</v>
      </c>
      <c r="J573" t="b">
        <f>IF(OR(INDEX(OHZ_HAZ_UNITTYPE,66,1)="TEU",),INDEX(OHZ_HAZ_TEUID,66,1)&lt;&gt;"",TRUE)</f>
        <v>1</v>
      </c>
      <c r="K573" t="str">
        <f t="shared" ref="K573:K636" si="19">T66&amp;$V$3</f>
        <v>Row 66 - If ‘TEU type’ is ‘TEU’ then ‘TEU Id’ is required</v>
      </c>
      <c r="L573" t="s">
        <v>1391</v>
      </c>
    </row>
    <row r="574" spans="7:12" x14ac:dyDescent="0.25">
      <c r="G574" t="b">
        <f>IF(OR(INDEX(IHZ_HAZ_UNITTYPE,67,1)="TEU",),INDEX(IHZ_HAZ_TEUID,67,1)&lt;&gt;"",TRUE)</f>
        <v>1</v>
      </c>
      <c r="H574" t="str">
        <f t="shared" si="18"/>
        <v>Row 67 - If ‘TEU type’ is ‘TEU’ then ‘TEU Id’ is required</v>
      </c>
      <c r="I574" t="s">
        <v>1391</v>
      </c>
      <c r="J574" t="b">
        <f>IF(OR(INDEX(OHZ_HAZ_UNITTYPE,67,1)="TEU",),INDEX(OHZ_HAZ_TEUID,67,1)&lt;&gt;"",TRUE)</f>
        <v>1</v>
      </c>
      <c r="K574" t="str">
        <f t="shared" si="19"/>
        <v>Row 67 - If ‘TEU type’ is ‘TEU’ then ‘TEU Id’ is required</v>
      </c>
      <c r="L574" t="s">
        <v>1391</v>
      </c>
    </row>
    <row r="575" spans="7:12" x14ac:dyDescent="0.25">
      <c r="G575" t="b">
        <f>IF(OR(INDEX(IHZ_HAZ_UNITTYPE,68,1)="TEU",),INDEX(IHZ_HAZ_TEUID,68,1)&lt;&gt;"",TRUE)</f>
        <v>1</v>
      </c>
      <c r="H575" t="str">
        <f t="shared" si="18"/>
        <v>Row 68 - If ‘TEU type’ is ‘TEU’ then ‘TEU Id’ is required</v>
      </c>
      <c r="I575" t="s">
        <v>1391</v>
      </c>
      <c r="J575" t="b">
        <f>IF(OR(INDEX(OHZ_HAZ_UNITTYPE,68,1)="TEU",),INDEX(OHZ_HAZ_TEUID,68,1)&lt;&gt;"",TRUE)</f>
        <v>1</v>
      </c>
      <c r="K575" t="str">
        <f t="shared" si="19"/>
        <v>Row 68 - If ‘TEU type’ is ‘TEU’ then ‘TEU Id’ is required</v>
      </c>
      <c r="L575" t="s">
        <v>1391</v>
      </c>
    </row>
    <row r="576" spans="7:12" x14ac:dyDescent="0.25">
      <c r="G576" t="b">
        <f>IF(OR(INDEX(IHZ_HAZ_UNITTYPE,69,1)="TEU",),INDEX(IHZ_HAZ_TEUID,69,1)&lt;&gt;"",TRUE)</f>
        <v>1</v>
      </c>
      <c r="H576" t="str">
        <f t="shared" si="18"/>
        <v>Row 69 - If ‘TEU type’ is ‘TEU’ then ‘TEU Id’ is required</v>
      </c>
      <c r="I576" t="s">
        <v>1391</v>
      </c>
      <c r="J576" t="b">
        <f>IF(OR(INDEX(OHZ_HAZ_UNITTYPE,69,1)="TEU",),INDEX(OHZ_HAZ_TEUID,69,1)&lt;&gt;"",TRUE)</f>
        <v>1</v>
      </c>
      <c r="K576" t="str">
        <f t="shared" si="19"/>
        <v>Row 69 - If ‘TEU type’ is ‘TEU’ then ‘TEU Id’ is required</v>
      </c>
      <c r="L576" t="s">
        <v>1391</v>
      </c>
    </row>
    <row r="577" spans="7:12" x14ac:dyDescent="0.25">
      <c r="G577" t="b">
        <f>IF(OR(INDEX(IHZ_HAZ_UNITTYPE,70,1)="TEU",),INDEX(IHZ_HAZ_TEUID,70,1)&lt;&gt;"",TRUE)</f>
        <v>1</v>
      </c>
      <c r="H577" t="str">
        <f t="shared" si="18"/>
        <v>Row 70 - If ‘TEU type’ is ‘TEU’ then ‘TEU Id’ is required</v>
      </c>
      <c r="I577" t="s">
        <v>1391</v>
      </c>
      <c r="J577" t="b">
        <f>IF(OR(INDEX(OHZ_HAZ_UNITTYPE,70,1)="TEU",),INDEX(OHZ_HAZ_TEUID,70,1)&lt;&gt;"",TRUE)</f>
        <v>1</v>
      </c>
      <c r="K577" t="str">
        <f t="shared" si="19"/>
        <v>Row 70 - If ‘TEU type’ is ‘TEU’ then ‘TEU Id’ is required</v>
      </c>
      <c r="L577" t="s">
        <v>1391</v>
      </c>
    </row>
    <row r="578" spans="7:12" x14ac:dyDescent="0.25">
      <c r="G578" t="b">
        <f>IF(OR(INDEX(IHZ_HAZ_UNITTYPE,71,1)="TEU",),INDEX(IHZ_HAZ_TEUID,71,1)&lt;&gt;"",TRUE)</f>
        <v>1</v>
      </c>
      <c r="H578" t="str">
        <f t="shared" si="18"/>
        <v>Row 71 - If ‘TEU type’ is ‘TEU’ then ‘TEU Id’ is required</v>
      </c>
      <c r="I578" t="s">
        <v>1391</v>
      </c>
      <c r="J578" t="b">
        <f>IF(OR(INDEX(OHZ_HAZ_UNITTYPE,71,1)="TEU",),INDEX(OHZ_HAZ_TEUID,71,1)&lt;&gt;"",TRUE)</f>
        <v>1</v>
      </c>
      <c r="K578" t="str">
        <f t="shared" si="19"/>
        <v>Row 71 - If ‘TEU type’ is ‘TEU’ then ‘TEU Id’ is required</v>
      </c>
      <c r="L578" t="s">
        <v>1391</v>
      </c>
    </row>
    <row r="579" spans="7:12" x14ac:dyDescent="0.25">
      <c r="G579" t="b">
        <f>IF(OR(INDEX(IHZ_HAZ_UNITTYPE,72,1)="TEU",),INDEX(IHZ_HAZ_TEUID,72,1)&lt;&gt;"",TRUE)</f>
        <v>1</v>
      </c>
      <c r="H579" t="str">
        <f t="shared" si="18"/>
        <v>Row 72 - If ‘TEU type’ is ‘TEU’ then ‘TEU Id’ is required</v>
      </c>
      <c r="I579" t="s">
        <v>1391</v>
      </c>
      <c r="J579" t="b">
        <f>IF(OR(INDEX(OHZ_HAZ_UNITTYPE,72,1)="TEU",),INDEX(OHZ_HAZ_TEUID,72,1)&lt;&gt;"",TRUE)</f>
        <v>1</v>
      </c>
      <c r="K579" t="str">
        <f t="shared" si="19"/>
        <v>Row 72 - If ‘TEU type’ is ‘TEU’ then ‘TEU Id’ is required</v>
      </c>
      <c r="L579" t="s">
        <v>1391</v>
      </c>
    </row>
    <row r="580" spans="7:12" x14ac:dyDescent="0.25">
      <c r="G580" t="b">
        <f>IF(OR(INDEX(IHZ_HAZ_UNITTYPE,73,1)="TEU",),INDEX(IHZ_HAZ_TEUID,73,1)&lt;&gt;"",TRUE)</f>
        <v>1</v>
      </c>
      <c r="H580" t="str">
        <f t="shared" si="18"/>
        <v>Row 73 - If ‘TEU type’ is ‘TEU’ then ‘TEU Id’ is required</v>
      </c>
      <c r="I580" t="s">
        <v>1391</v>
      </c>
      <c r="J580" t="b">
        <f>IF(OR(INDEX(OHZ_HAZ_UNITTYPE,73,1)="TEU",),INDEX(OHZ_HAZ_TEUID,73,1)&lt;&gt;"",TRUE)</f>
        <v>1</v>
      </c>
      <c r="K580" t="str">
        <f t="shared" si="19"/>
        <v>Row 73 - If ‘TEU type’ is ‘TEU’ then ‘TEU Id’ is required</v>
      </c>
      <c r="L580" t="s">
        <v>1391</v>
      </c>
    </row>
    <row r="581" spans="7:12" x14ac:dyDescent="0.25">
      <c r="G581" t="b">
        <f>IF(OR(INDEX(IHZ_HAZ_UNITTYPE,74,1)="TEU",),INDEX(IHZ_HAZ_TEUID,74,1)&lt;&gt;"",TRUE)</f>
        <v>1</v>
      </c>
      <c r="H581" t="str">
        <f t="shared" si="18"/>
        <v>Row 74 - If ‘TEU type’ is ‘TEU’ then ‘TEU Id’ is required</v>
      </c>
      <c r="I581" t="s">
        <v>1391</v>
      </c>
      <c r="J581" t="b">
        <f>IF(OR(INDEX(OHZ_HAZ_UNITTYPE,74,1)="TEU",),INDEX(OHZ_HAZ_TEUID,74,1)&lt;&gt;"",TRUE)</f>
        <v>1</v>
      </c>
      <c r="K581" t="str">
        <f t="shared" si="19"/>
        <v>Row 74 - If ‘TEU type’ is ‘TEU’ then ‘TEU Id’ is required</v>
      </c>
      <c r="L581" t="s">
        <v>1391</v>
      </c>
    </row>
    <row r="582" spans="7:12" x14ac:dyDescent="0.25">
      <c r="G582" t="b">
        <f>IF(OR(INDEX(IHZ_HAZ_UNITTYPE,75,1)="TEU",),INDEX(IHZ_HAZ_TEUID,75,1)&lt;&gt;"",TRUE)</f>
        <v>1</v>
      </c>
      <c r="H582" t="str">
        <f t="shared" si="18"/>
        <v>Row 75 - If ‘TEU type’ is ‘TEU’ then ‘TEU Id’ is required</v>
      </c>
      <c r="I582" t="s">
        <v>1391</v>
      </c>
      <c r="J582" t="b">
        <f>IF(OR(INDEX(OHZ_HAZ_UNITTYPE,75,1)="TEU",),INDEX(OHZ_HAZ_TEUID,75,1)&lt;&gt;"",TRUE)</f>
        <v>1</v>
      </c>
      <c r="K582" t="str">
        <f t="shared" si="19"/>
        <v>Row 75 - If ‘TEU type’ is ‘TEU’ then ‘TEU Id’ is required</v>
      </c>
      <c r="L582" t="s">
        <v>1391</v>
      </c>
    </row>
    <row r="583" spans="7:12" x14ac:dyDescent="0.25">
      <c r="G583" t="b">
        <f>IF(OR(INDEX(IHZ_HAZ_UNITTYPE,76,1)="TEU",),INDEX(IHZ_HAZ_TEUID,76,1)&lt;&gt;"",TRUE)</f>
        <v>1</v>
      </c>
      <c r="H583" t="str">
        <f t="shared" si="18"/>
        <v>Row 76 - If ‘TEU type’ is ‘TEU’ then ‘TEU Id’ is required</v>
      </c>
      <c r="I583" t="s">
        <v>1391</v>
      </c>
      <c r="J583" t="b">
        <f>IF(OR(INDEX(OHZ_HAZ_UNITTYPE,76,1)="TEU",),INDEX(OHZ_HAZ_TEUID,76,1)&lt;&gt;"",TRUE)</f>
        <v>1</v>
      </c>
      <c r="K583" t="str">
        <f t="shared" si="19"/>
        <v>Row 76 - If ‘TEU type’ is ‘TEU’ then ‘TEU Id’ is required</v>
      </c>
      <c r="L583" t="s">
        <v>1391</v>
      </c>
    </row>
    <row r="584" spans="7:12" x14ac:dyDescent="0.25">
      <c r="G584" t="b">
        <f>IF(OR(INDEX(IHZ_HAZ_UNITTYPE,77,1)="TEU",),INDEX(IHZ_HAZ_TEUID,77,1)&lt;&gt;"",TRUE)</f>
        <v>1</v>
      </c>
      <c r="H584" t="str">
        <f t="shared" si="18"/>
        <v>Row 77 - If ‘TEU type’ is ‘TEU’ then ‘TEU Id’ is required</v>
      </c>
      <c r="I584" t="s">
        <v>1391</v>
      </c>
      <c r="J584" t="b">
        <f>IF(OR(INDEX(OHZ_HAZ_UNITTYPE,77,1)="TEU",),INDEX(OHZ_HAZ_TEUID,77,1)&lt;&gt;"",TRUE)</f>
        <v>1</v>
      </c>
      <c r="K584" t="str">
        <f t="shared" si="19"/>
        <v>Row 77 - If ‘TEU type’ is ‘TEU’ then ‘TEU Id’ is required</v>
      </c>
      <c r="L584" t="s">
        <v>1391</v>
      </c>
    </row>
    <row r="585" spans="7:12" x14ac:dyDescent="0.25">
      <c r="G585" t="b">
        <f>IF(OR(INDEX(IHZ_HAZ_UNITTYPE,78,1)="TEU",),INDEX(IHZ_HAZ_TEUID,78,1)&lt;&gt;"",TRUE)</f>
        <v>1</v>
      </c>
      <c r="H585" t="str">
        <f t="shared" si="18"/>
        <v>Row 78 - If ‘TEU type’ is ‘TEU’ then ‘TEU Id’ is required</v>
      </c>
      <c r="I585" t="s">
        <v>1391</v>
      </c>
      <c r="J585" t="b">
        <f>IF(OR(INDEX(OHZ_HAZ_UNITTYPE,78,1)="TEU",),INDEX(OHZ_HAZ_TEUID,78,1)&lt;&gt;"",TRUE)</f>
        <v>1</v>
      </c>
      <c r="K585" t="str">
        <f t="shared" si="19"/>
        <v>Row 78 - If ‘TEU type’ is ‘TEU’ then ‘TEU Id’ is required</v>
      </c>
      <c r="L585" t="s">
        <v>1391</v>
      </c>
    </row>
    <row r="586" spans="7:12" x14ac:dyDescent="0.25">
      <c r="G586" t="b">
        <f>IF(OR(INDEX(IHZ_HAZ_UNITTYPE,79,1)="TEU",),INDEX(IHZ_HAZ_TEUID,79,1)&lt;&gt;"",TRUE)</f>
        <v>1</v>
      </c>
      <c r="H586" t="str">
        <f t="shared" si="18"/>
        <v>Row 79 - If ‘TEU type’ is ‘TEU’ then ‘TEU Id’ is required</v>
      </c>
      <c r="I586" t="s">
        <v>1391</v>
      </c>
      <c r="J586" t="b">
        <f>IF(OR(INDEX(OHZ_HAZ_UNITTYPE,79,1)="TEU",),INDEX(OHZ_HAZ_TEUID,79,1)&lt;&gt;"",TRUE)</f>
        <v>1</v>
      </c>
      <c r="K586" t="str">
        <f t="shared" si="19"/>
        <v>Row 79 - If ‘TEU type’ is ‘TEU’ then ‘TEU Id’ is required</v>
      </c>
      <c r="L586" t="s">
        <v>1391</v>
      </c>
    </row>
    <row r="587" spans="7:12" x14ac:dyDescent="0.25">
      <c r="G587" t="b">
        <f>IF(OR(INDEX(IHZ_HAZ_UNITTYPE,80,1)="TEU",),INDEX(IHZ_HAZ_TEUID,80,1)&lt;&gt;"",TRUE)</f>
        <v>1</v>
      </c>
      <c r="H587" t="str">
        <f t="shared" si="18"/>
        <v>Row 80 - If ‘TEU type’ is ‘TEU’ then ‘TEU Id’ is required</v>
      </c>
      <c r="I587" t="s">
        <v>1391</v>
      </c>
      <c r="J587" t="b">
        <f>IF(OR(INDEX(OHZ_HAZ_UNITTYPE,80,1)="TEU",),INDEX(OHZ_HAZ_TEUID,80,1)&lt;&gt;"",TRUE)</f>
        <v>1</v>
      </c>
      <c r="K587" t="str">
        <f t="shared" si="19"/>
        <v>Row 80 - If ‘TEU type’ is ‘TEU’ then ‘TEU Id’ is required</v>
      </c>
      <c r="L587" t="s">
        <v>1391</v>
      </c>
    </row>
    <row r="588" spans="7:12" x14ac:dyDescent="0.25">
      <c r="G588" t="b">
        <f>IF(OR(INDEX(IHZ_HAZ_UNITTYPE,81,1)="TEU",),INDEX(IHZ_HAZ_TEUID,81,1)&lt;&gt;"",TRUE)</f>
        <v>1</v>
      </c>
      <c r="H588" t="str">
        <f t="shared" si="18"/>
        <v>Row 81 - If ‘TEU type’ is ‘TEU’ then ‘TEU Id’ is required</v>
      </c>
      <c r="I588" t="s">
        <v>1391</v>
      </c>
      <c r="J588" t="b">
        <f>IF(OR(INDEX(OHZ_HAZ_UNITTYPE,81,1)="TEU",),INDEX(OHZ_HAZ_TEUID,81,1)&lt;&gt;"",TRUE)</f>
        <v>1</v>
      </c>
      <c r="K588" t="str">
        <f t="shared" si="19"/>
        <v>Row 81 - If ‘TEU type’ is ‘TEU’ then ‘TEU Id’ is required</v>
      </c>
      <c r="L588" t="s">
        <v>1391</v>
      </c>
    </row>
    <row r="589" spans="7:12" x14ac:dyDescent="0.25">
      <c r="G589" t="b">
        <f>IF(OR(INDEX(IHZ_HAZ_UNITTYPE,82,1)="TEU",),INDEX(IHZ_HAZ_TEUID,82,1)&lt;&gt;"",TRUE)</f>
        <v>1</v>
      </c>
      <c r="H589" t="str">
        <f t="shared" si="18"/>
        <v>Row 82 - If ‘TEU type’ is ‘TEU’ then ‘TEU Id’ is required</v>
      </c>
      <c r="I589" t="s">
        <v>1391</v>
      </c>
      <c r="J589" t="b">
        <f>IF(OR(INDEX(OHZ_HAZ_UNITTYPE,82,1)="TEU",),INDEX(OHZ_HAZ_TEUID,82,1)&lt;&gt;"",TRUE)</f>
        <v>1</v>
      </c>
      <c r="K589" t="str">
        <f t="shared" si="19"/>
        <v>Row 82 - If ‘TEU type’ is ‘TEU’ then ‘TEU Id’ is required</v>
      </c>
      <c r="L589" t="s">
        <v>1391</v>
      </c>
    </row>
    <row r="590" spans="7:12" x14ac:dyDescent="0.25">
      <c r="G590" t="b">
        <f>IF(OR(INDEX(IHZ_HAZ_UNITTYPE,83,1)="TEU",),INDEX(IHZ_HAZ_TEUID,83,1)&lt;&gt;"",TRUE)</f>
        <v>1</v>
      </c>
      <c r="H590" t="str">
        <f t="shared" si="18"/>
        <v>Row 83 - If ‘TEU type’ is ‘TEU’ then ‘TEU Id’ is required</v>
      </c>
      <c r="I590" t="s">
        <v>1391</v>
      </c>
      <c r="J590" t="b">
        <f>IF(OR(INDEX(OHZ_HAZ_UNITTYPE,83,1)="TEU",),INDEX(OHZ_HAZ_TEUID,83,1)&lt;&gt;"",TRUE)</f>
        <v>1</v>
      </c>
      <c r="K590" t="str">
        <f t="shared" si="19"/>
        <v>Row 83 - If ‘TEU type’ is ‘TEU’ then ‘TEU Id’ is required</v>
      </c>
      <c r="L590" t="s">
        <v>1391</v>
      </c>
    </row>
    <row r="591" spans="7:12" x14ac:dyDescent="0.25">
      <c r="G591" t="b">
        <f>IF(OR(INDEX(IHZ_HAZ_UNITTYPE,84,1)="TEU",),INDEX(IHZ_HAZ_TEUID,84,1)&lt;&gt;"",TRUE)</f>
        <v>1</v>
      </c>
      <c r="H591" t="str">
        <f t="shared" si="18"/>
        <v>Row 84 - If ‘TEU type’ is ‘TEU’ then ‘TEU Id’ is required</v>
      </c>
      <c r="I591" t="s">
        <v>1391</v>
      </c>
      <c r="J591" t="b">
        <f>IF(OR(INDEX(OHZ_HAZ_UNITTYPE,84,1)="TEU",),INDEX(OHZ_HAZ_TEUID,84,1)&lt;&gt;"",TRUE)</f>
        <v>1</v>
      </c>
      <c r="K591" t="str">
        <f t="shared" si="19"/>
        <v>Row 84 - If ‘TEU type’ is ‘TEU’ then ‘TEU Id’ is required</v>
      </c>
      <c r="L591" t="s">
        <v>1391</v>
      </c>
    </row>
    <row r="592" spans="7:12" x14ac:dyDescent="0.25">
      <c r="G592" t="b">
        <f>IF(OR(INDEX(IHZ_HAZ_UNITTYPE,85,1)="TEU",),INDEX(IHZ_HAZ_TEUID,85,1)&lt;&gt;"",TRUE)</f>
        <v>1</v>
      </c>
      <c r="H592" t="str">
        <f t="shared" si="18"/>
        <v>Row 85 - If ‘TEU type’ is ‘TEU’ then ‘TEU Id’ is required</v>
      </c>
      <c r="I592" t="s">
        <v>1391</v>
      </c>
      <c r="J592" t="b">
        <f>IF(OR(INDEX(OHZ_HAZ_UNITTYPE,85,1)="TEU",),INDEX(OHZ_HAZ_TEUID,85,1)&lt;&gt;"",TRUE)</f>
        <v>1</v>
      </c>
      <c r="K592" t="str">
        <f t="shared" si="19"/>
        <v>Row 85 - If ‘TEU type’ is ‘TEU’ then ‘TEU Id’ is required</v>
      </c>
      <c r="L592" t="s">
        <v>1391</v>
      </c>
    </row>
    <row r="593" spans="7:12" x14ac:dyDescent="0.25">
      <c r="G593" t="b">
        <f>IF(OR(INDEX(IHZ_HAZ_UNITTYPE,86,1)="TEU",),INDEX(IHZ_HAZ_TEUID,86,1)&lt;&gt;"",TRUE)</f>
        <v>1</v>
      </c>
      <c r="H593" t="str">
        <f t="shared" si="18"/>
        <v>Row 86 - If ‘TEU type’ is ‘TEU’ then ‘TEU Id’ is required</v>
      </c>
      <c r="I593" t="s">
        <v>1391</v>
      </c>
      <c r="J593" t="b">
        <f>IF(OR(INDEX(OHZ_HAZ_UNITTYPE,86,1)="TEU",),INDEX(OHZ_HAZ_TEUID,86,1)&lt;&gt;"",TRUE)</f>
        <v>1</v>
      </c>
      <c r="K593" t="str">
        <f t="shared" si="19"/>
        <v>Row 86 - If ‘TEU type’ is ‘TEU’ then ‘TEU Id’ is required</v>
      </c>
      <c r="L593" t="s">
        <v>1391</v>
      </c>
    </row>
    <row r="594" spans="7:12" x14ac:dyDescent="0.25">
      <c r="G594" t="b">
        <f>IF(OR(INDEX(IHZ_HAZ_UNITTYPE,87,1)="TEU",),INDEX(IHZ_HAZ_TEUID,87,1)&lt;&gt;"",TRUE)</f>
        <v>1</v>
      </c>
      <c r="H594" t="str">
        <f t="shared" si="18"/>
        <v>Row 87 - If ‘TEU type’ is ‘TEU’ then ‘TEU Id’ is required</v>
      </c>
      <c r="I594" t="s">
        <v>1391</v>
      </c>
      <c r="J594" t="b">
        <f>IF(OR(INDEX(OHZ_HAZ_UNITTYPE,87,1)="TEU",),INDEX(OHZ_HAZ_TEUID,87,1)&lt;&gt;"",TRUE)</f>
        <v>1</v>
      </c>
      <c r="K594" t="str">
        <f t="shared" si="19"/>
        <v>Row 87 - If ‘TEU type’ is ‘TEU’ then ‘TEU Id’ is required</v>
      </c>
      <c r="L594" t="s">
        <v>1391</v>
      </c>
    </row>
    <row r="595" spans="7:12" x14ac:dyDescent="0.25">
      <c r="G595" t="b">
        <f>IF(OR(INDEX(IHZ_HAZ_UNITTYPE,88,1)="TEU",),INDEX(IHZ_HAZ_TEUID,88,1)&lt;&gt;"",TRUE)</f>
        <v>1</v>
      </c>
      <c r="H595" t="str">
        <f t="shared" si="18"/>
        <v>Row 88 - If ‘TEU type’ is ‘TEU’ then ‘TEU Id’ is required</v>
      </c>
      <c r="I595" t="s">
        <v>1391</v>
      </c>
      <c r="J595" t="b">
        <f>IF(OR(INDEX(OHZ_HAZ_UNITTYPE,88,1)="TEU",),INDEX(OHZ_HAZ_TEUID,88,1)&lt;&gt;"",TRUE)</f>
        <v>1</v>
      </c>
      <c r="K595" t="str">
        <f t="shared" si="19"/>
        <v>Row 88 - If ‘TEU type’ is ‘TEU’ then ‘TEU Id’ is required</v>
      </c>
      <c r="L595" t="s">
        <v>1391</v>
      </c>
    </row>
    <row r="596" spans="7:12" x14ac:dyDescent="0.25">
      <c r="G596" t="b">
        <f>IF(OR(INDEX(IHZ_HAZ_UNITTYPE,89,1)="TEU",),INDEX(IHZ_HAZ_TEUID,89,1)&lt;&gt;"",TRUE)</f>
        <v>1</v>
      </c>
      <c r="H596" t="str">
        <f t="shared" si="18"/>
        <v>Row 89 - If ‘TEU type’ is ‘TEU’ then ‘TEU Id’ is required</v>
      </c>
      <c r="I596" t="s">
        <v>1391</v>
      </c>
      <c r="J596" t="b">
        <f>IF(OR(INDEX(OHZ_HAZ_UNITTYPE,89,1)="TEU",),INDEX(OHZ_HAZ_TEUID,89,1)&lt;&gt;"",TRUE)</f>
        <v>1</v>
      </c>
      <c r="K596" t="str">
        <f t="shared" si="19"/>
        <v>Row 89 - If ‘TEU type’ is ‘TEU’ then ‘TEU Id’ is required</v>
      </c>
      <c r="L596" t="s">
        <v>1391</v>
      </c>
    </row>
    <row r="597" spans="7:12" x14ac:dyDescent="0.25">
      <c r="G597" t="b">
        <f>IF(OR(INDEX(IHZ_HAZ_UNITTYPE,90,1)="TEU",),INDEX(IHZ_HAZ_TEUID,90,1)&lt;&gt;"",TRUE)</f>
        <v>1</v>
      </c>
      <c r="H597" t="str">
        <f t="shared" si="18"/>
        <v>Row 90 - If ‘TEU type’ is ‘TEU’ then ‘TEU Id’ is required</v>
      </c>
      <c r="I597" t="s">
        <v>1391</v>
      </c>
      <c r="J597" t="b">
        <f>IF(OR(INDEX(OHZ_HAZ_UNITTYPE,90,1)="TEU",),INDEX(OHZ_HAZ_TEUID,90,1)&lt;&gt;"",TRUE)</f>
        <v>1</v>
      </c>
      <c r="K597" t="str">
        <f t="shared" si="19"/>
        <v>Row 90 - If ‘TEU type’ is ‘TEU’ then ‘TEU Id’ is required</v>
      </c>
      <c r="L597" t="s">
        <v>1391</v>
      </c>
    </row>
    <row r="598" spans="7:12" x14ac:dyDescent="0.25">
      <c r="G598" t="b">
        <f>IF(OR(INDEX(IHZ_HAZ_UNITTYPE,91,1)="TEU",),INDEX(IHZ_HAZ_TEUID,91,1)&lt;&gt;"",TRUE)</f>
        <v>1</v>
      </c>
      <c r="H598" t="str">
        <f t="shared" si="18"/>
        <v>Row 91 - If ‘TEU type’ is ‘TEU’ then ‘TEU Id’ is required</v>
      </c>
      <c r="I598" t="s">
        <v>1391</v>
      </c>
      <c r="J598" t="b">
        <f>IF(OR(INDEX(OHZ_HAZ_UNITTYPE,91,1)="TEU",),INDEX(OHZ_HAZ_TEUID,91,1)&lt;&gt;"",TRUE)</f>
        <v>1</v>
      </c>
      <c r="K598" t="str">
        <f t="shared" si="19"/>
        <v>Row 91 - If ‘TEU type’ is ‘TEU’ then ‘TEU Id’ is required</v>
      </c>
      <c r="L598" t="s">
        <v>1391</v>
      </c>
    </row>
    <row r="599" spans="7:12" x14ac:dyDescent="0.25">
      <c r="G599" t="b">
        <f>IF(OR(INDEX(IHZ_HAZ_UNITTYPE,92,1)="TEU",),INDEX(IHZ_HAZ_TEUID,92,1)&lt;&gt;"",TRUE)</f>
        <v>1</v>
      </c>
      <c r="H599" t="str">
        <f t="shared" si="18"/>
        <v>Row 92 - If ‘TEU type’ is ‘TEU’ then ‘TEU Id’ is required</v>
      </c>
      <c r="I599" t="s">
        <v>1391</v>
      </c>
      <c r="J599" t="b">
        <f>IF(OR(INDEX(OHZ_HAZ_UNITTYPE,92,1)="TEU",),INDEX(OHZ_HAZ_TEUID,92,1)&lt;&gt;"",TRUE)</f>
        <v>1</v>
      </c>
      <c r="K599" t="str">
        <f t="shared" si="19"/>
        <v>Row 92 - If ‘TEU type’ is ‘TEU’ then ‘TEU Id’ is required</v>
      </c>
      <c r="L599" t="s">
        <v>1391</v>
      </c>
    </row>
    <row r="600" spans="7:12" x14ac:dyDescent="0.25">
      <c r="G600" t="b">
        <f>IF(OR(INDEX(IHZ_HAZ_UNITTYPE,93,1)="TEU",),INDEX(IHZ_HAZ_TEUID,93,1)&lt;&gt;"",TRUE)</f>
        <v>1</v>
      </c>
      <c r="H600" t="str">
        <f t="shared" si="18"/>
        <v>Row 93 - If ‘TEU type’ is ‘TEU’ then ‘TEU Id’ is required</v>
      </c>
      <c r="I600" t="s">
        <v>1391</v>
      </c>
      <c r="J600" t="b">
        <f>IF(OR(INDEX(OHZ_HAZ_UNITTYPE,93,1)="TEU",),INDEX(OHZ_HAZ_TEUID,93,1)&lt;&gt;"",TRUE)</f>
        <v>1</v>
      </c>
      <c r="K600" t="str">
        <f t="shared" si="19"/>
        <v>Row 93 - If ‘TEU type’ is ‘TEU’ then ‘TEU Id’ is required</v>
      </c>
      <c r="L600" t="s">
        <v>1391</v>
      </c>
    </row>
    <row r="601" spans="7:12" x14ac:dyDescent="0.25">
      <c r="G601" t="b">
        <f>IF(OR(INDEX(IHZ_HAZ_UNITTYPE,94,1)="TEU",),INDEX(IHZ_HAZ_TEUID,94,1)&lt;&gt;"",TRUE)</f>
        <v>1</v>
      </c>
      <c r="H601" t="str">
        <f t="shared" si="18"/>
        <v>Row 94 - If ‘TEU type’ is ‘TEU’ then ‘TEU Id’ is required</v>
      </c>
      <c r="I601" t="s">
        <v>1391</v>
      </c>
      <c r="J601" t="b">
        <f>IF(OR(INDEX(OHZ_HAZ_UNITTYPE,94,1)="TEU",),INDEX(OHZ_HAZ_TEUID,94,1)&lt;&gt;"",TRUE)</f>
        <v>1</v>
      </c>
      <c r="K601" t="str">
        <f t="shared" si="19"/>
        <v>Row 94 - If ‘TEU type’ is ‘TEU’ then ‘TEU Id’ is required</v>
      </c>
      <c r="L601" t="s">
        <v>1391</v>
      </c>
    </row>
    <row r="602" spans="7:12" x14ac:dyDescent="0.25">
      <c r="G602" t="b">
        <f>IF(OR(INDEX(IHZ_HAZ_UNITTYPE,95,1)="TEU",),INDEX(IHZ_HAZ_TEUID,95,1)&lt;&gt;"",TRUE)</f>
        <v>1</v>
      </c>
      <c r="H602" t="str">
        <f t="shared" si="18"/>
        <v>Row 95 - If ‘TEU type’ is ‘TEU’ then ‘TEU Id’ is required</v>
      </c>
      <c r="I602" t="s">
        <v>1391</v>
      </c>
      <c r="J602" t="b">
        <f>IF(OR(INDEX(OHZ_HAZ_UNITTYPE,95,1)="TEU",),INDEX(OHZ_HAZ_TEUID,95,1)&lt;&gt;"",TRUE)</f>
        <v>1</v>
      </c>
      <c r="K602" t="str">
        <f t="shared" si="19"/>
        <v>Row 95 - If ‘TEU type’ is ‘TEU’ then ‘TEU Id’ is required</v>
      </c>
      <c r="L602" t="s">
        <v>1391</v>
      </c>
    </row>
    <row r="603" spans="7:12" x14ac:dyDescent="0.25">
      <c r="G603" t="b">
        <f>IF(OR(INDEX(IHZ_HAZ_UNITTYPE,96,1)="TEU",),INDEX(IHZ_HAZ_TEUID,96,1)&lt;&gt;"",TRUE)</f>
        <v>1</v>
      </c>
      <c r="H603" t="str">
        <f t="shared" si="18"/>
        <v>Row 96 - If ‘TEU type’ is ‘TEU’ then ‘TEU Id’ is required</v>
      </c>
      <c r="I603" t="s">
        <v>1391</v>
      </c>
      <c r="J603" t="b">
        <f>IF(OR(INDEX(OHZ_HAZ_UNITTYPE,96,1)="TEU",),INDEX(OHZ_HAZ_TEUID,96,1)&lt;&gt;"",TRUE)</f>
        <v>1</v>
      </c>
      <c r="K603" t="str">
        <f t="shared" si="19"/>
        <v>Row 96 - If ‘TEU type’ is ‘TEU’ then ‘TEU Id’ is required</v>
      </c>
      <c r="L603" t="s">
        <v>1391</v>
      </c>
    </row>
    <row r="604" spans="7:12" x14ac:dyDescent="0.25">
      <c r="G604" t="b">
        <f>IF(OR(INDEX(IHZ_HAZ_UNITTYPE,97,1)="TEU",),INDEX(IHZ_HAZ_TEUID,97,1)&lt;&gt;"",TRUE)</f>
        <v>1</v>
      </c>
      <c r="H604" t="str">
        <f t="shared" si="18"/>
        <v>Row 97 - If ‘TEU type’ is ‘TEU’ then ‘TEU Id’ is required</v>
      </c>
      <c r="I604" t="s">
        <v>1391</v>
      </c>
      <c r="J604" t="b">
        <f>IF(OR(INDEX(OHZ_HAZ_UNITTYPE,97,1)="TEU",),INDEX(OHZ_HAZ_TEUID,97,1)&lt;&gt;"",TRUE)</f>
        <v>1</v>
      </c>
      <c r="K604" t="str">
        <f t="shared" si="19"/>
        <v>Row 97 - If ‘TEU type’ is ‘TEU’ then ‘TEU Id’ is required</v>
      </c>
      <c r="L604" t="s">
        <v>1391</v>
      </c>
    </row>
    <row r="605" spans="7:12" x14ac:dyDescent="0.25">
      <c r="G605" t="b">
        <f>IF(OR(INDEX(IHZ_HAZ_UNITTYPE,98,1)="TEU",),INDEX(IHZ_HAZ_TEUID,98,1)&lt;&gt;"",TRUE)</f>
        <v>1</v>
      </c>
      <c r="H605" t="str">
        <f t="shared" si="18"/>
        <v>Row 98 - If ‘TEU type’ is ‘TEU’ then ‘TEU Id’ is required</v>
      </c>
      <c r="I605" t="s">
        <v>1391</v>
      </c>
      <c r="J605" t="b">
        <f>IF(OR(INDEX(OHZ_HAZ_UNITTYPE,98,1)="TEU",),INDEX(OHZ_HAZ_TEUID,98,1)&lt;&gt;"",TRUE)</f>
        <v>1</v>
      </c>
      <c r="K605" t="str">
        <f t="shared" si="19"/>
        <v>Row 98 - If ‘TEU type’ is ‘TEU’ then ‘TEU Id’ is required</v>
      </c>
      <c r="L605" t="s">
        <v>1391</v>
      </c>
    </row>
    <row r="606" spans="7:12" x14ac:dyDescent="0.25">
      <c r="G606" t="b">
        <f>IF(OR(INDEX(IHZ_HAZ_UNITTYPE,99,1)="TEU",),INDEX(IHZ_HAZ_TEUID,99,1)&lt;&gt;"",TRUE)</f>
        <v>1</v>
      </c>
      <c r="H606" t="str">
        <f t="shared" si="18"/>
        <v>Row 99 - If ‘TEU type’ is ‘TEU’ then ‘TEU Id’ is required</v>
      </c>
      <c r="I606" t="s">
        <v>1391</v>
      </c>
      <c r="J606" t="b">
        <f>IF(OR(INDEX(OHZ_HAZ_UNITTYPE,99,1)="TEU",),INDEX(OHZ_HAZ_TEUID,99,1)&lt;&gt;"",TRUE)</f>
        <v>1</v>
      </c>
      <c r="K606" t="str">
        <f t="shared" si="19"/>
        <v>Row 99 - If ‘TEU type’ is ‘TEU’ then ‘TEU Id’ is required</v>
      </c>
      <c r="L606" t="s">
        <v>1391</v>
      </c>
    </row>
    <row r="607" spans="7:12" x14ac:dyDescent="0.25">
      <c r="G607" t="b">
        <f>IF(OR(INDEX(IHZ_HAZ_UNITTYPE,100,1)="TEU",),INDEX(IHZ_HAZ_TEUID,100,1)&lt;&gt;"",TRUE)</f>
        <v>1</v>
      </c>
      <c r="H607" t="str">
        <f t="shared" si="18"/>
        <v>Row 100 - If ‘TEU type’ is ‘TEU’ then ‘TEU Id’ is required</v>
      </c>
      <c r="I607" t="s">
        <v>1391</v>
      </c>
      <c r="J607" t="b">
        <f>IF(OR(INDEX(OHZ_HAZ_UNITTYPE,100,1)="TEU",),INDEX(OHZ_HAZ_TEUID,100,1)&lt;&gt;"",TRUE)</f>
        <v>1</v>
      </c>
      <c r="K607" t="str">
        <f t="shared" si="19"/>
        <v>Row 100 - If ‘TEU type’ is ‘TEU’ then ‘TEU Id’ is required</v>
      </c>
      <c r="L607" t="s">
        <v>1391</v>
      </c>
    </row>
    <row r="608" spans="7:12" x14ac:dyDescent="0.25">
      <c r="G608" t="b">
        <f>IF(OR(INDEX(IHZ_HAZ_UNITTYPE,101,1)="TEU",),INDEX(IHZ_HAZ_TEUID,101,1)&lt;&gt;"",TRUE)</f>
        <v>1</v>
      </c>
      <c r="H608" t="str">
        <f t="shared" si="18"/>
        <v>Row 101 - If ‘TEU type’ is ‘TEU’ then ‘TEU Id’ is required</v>
      </c>
      <c r="I608" t="s">
        <v>1391</v>
      </c>
      <c r="J608" t="b">
        <f>IF(OR(INDEX(OHZ_HAZ_UNITTYPE,101,1)="TEU",),INDEX(OHZ_HAZ_TEUID,101,1)&lt;&gt;"",TRUE)</f>
        <v>1</v>
      </c>
      <c r="K608" t="str">
        <f t="shared" si="19"/>
        <v>Row 101 - If ‘TEU type’ is ‘TEU’ then ‘TEU Id’ is required</v>
      </c>
      <c r="L608" t="s">
        <v>1391</v>
      </c>
    </row>
    <row r="609" spans="7:12" x14ac:dyDescent="0.25">
      <c r="G609" t="b">
        <f>IF(OR(INDEX(IHZ_HAZ_UNITTYPE,102,1)="TEU",),INDEX(IHZ_HAZ_TEUID,102,1)&lt;&gt;"",TRUE)</f>
        <v>1</v>
      </c>
      <c r="H609" t="str">
        <f t="shared" si="18"/>
        <v>Row 102 - If ‘TEU type’ is ‘TEU’ then ‘TEU Id’ is required</v>
      </c>
      <c r="I609" t="s">
        <v>1391</v>
      </c>
      <c r="J609" t="b">
        <f>IF(OR(INDEX(OHZ_HAZ_UNITTYPE,102,1)="TEU",),INDEX(OHZ_HAZ_TEUID,102,1)&lt;&gt;"",TRUE)</f>
        <v>1</v>
      </c>
      <c r="K609" t="str">
        <f t="shared" si="19"/>
        <v>Row 102 - If ‘TEU type’ is ‘TEU’ then ‘TEU Id’ is required</v>
      </c>
      <c r="L609" t="s">
        <v>1391</v>
      </c>
    </row>
    <row r="610" spans="7:12" x14ac:dyDescent="0.25">
      <c r="G610" t="b">
        <f>IF(OR(INDEX(IHZ_HAZ_UNITTYPE,103,1)="TEU",),INDEX(IHZ_HAZ_TEUID,103,1)&lt;&gt;"",TRUE)</f>
        <v>1</v>
      </c>
      <c r="H610" t="str">
        <f t="shared" si="18"/>
        <v>Row 103 - If ‘TEU type’ is ‘TEU’ then ‘TEU Id’ is required</v>
      </c>
      <c r="I610" t="s">
        <v>1391</v>
      </c>
      <c r="J610" t="b">
        <f>IF(OR(INDEX(OHZ_HAZ_UNITTYPE,103,1)="TEU",),INDEX(OHZ_HAZ_TEUID,103,1)&lt;&gt;"",TRUE)</f>
        <v>1</v>
      </c>
      <c r="K610" t="str">
        <f t="shared" si="19"/>
        <v>Row 103 - If ‘TEU type’ is ‘TEU’ then ‘TEU Id’ is required</v>
      </c>
      <c r="L610" t="s">
        <v>1391</v>
      </c>
    </row>
    <row r="611" spans="7:12" x14ac:dyDescent="0.25">
      <c r="G611" t="b">
        <f>IF(OR(INDEX(IHZ_HAZ_UNITTYPE,104,1)="TEU",),INDEX(IHZ_HAZ_TEUID,104,1)&lt;&gt;"",TRUE)</f>
        <v>1</v>
      </c>
      <c r="H611" t="str">
        <f t="shared" si="18"/>
        <v>Row 104 - If ‘TEU type’ is ‘TEU’ then ‘TEU Id’ is required</v>
      </c>
      <c r="I611" t="s">
        <v>1391</v>
      </c>
      <c r="J611" t="b">
        <f>IF(OR(INDEX(OHZ_HAZ_UNITTYPE,104,1)="TEU",),INDEX(OHZ_HAZ_TEUID,104,1)&lt;&gt;"",TRUE)</f>
        <v>1</v>
      </c>
      <c r="K611" t="str">
        <f t="shared" si="19"/>
        <v>Row 104 - If ‘TEU type’ is ‘TEU’ then ‘TEU Id’ is required</v>
      </c>
      <c r="L611" t="s">
        <v>1391</v>
      </c>
    </row>
    <row r="612" spans="7:12" x14ac:dyDescent="0.25">
      <c r="G612" t="b">
        <f>IF(OR(INDEX(IHZ_HAZ_UNITTYPE,105,1)="TEU",),INDEX(IHZ_HAZ_TEUID,105,1)&lt;&gt;"",TRUE)</f>
        <v>1</v>
      </c>
      <c r="H612" t="str">
        <f t="shared" si="18"/>
        <v>Row 105 - If ‘TEU type’ is ‘TEU’ then ‘TEU Id’ is required</v>
      </c>
      <c r="I612" t="s">
        <v>1391</v>
      </c>
      <c r="J612" t="b">
        <f>IF(OR(INDEX(OHZ_HAZ_UNITTYPE,105,1)="TEU",),INDEX(OHZ_HAZ_TEUID,105,1)&lt;&gt;"",TRUE)</f>
        <v>1</v>
      </c>
      <c r="K612" t="str">
        <f t="shared" si="19"/>
        <v>Row 105 - If ‘TEU type’ is ‘TEU’ then ‘TEU Id’ is required</v>
      </c>
      <c r="L612" t="s">
        <v>1391</v>
      </c>
    </row>
    <row r="613" spans="7:12" x14ac:dyDescent="0.25">
      <c r="G613" t="b">
        <f>IF(OR(INDEX(IHZ_HAZ_UNITTYPE,106,1)="TEU",),INDEX(IHZ_HAZ_TEUID,106,1)&lt;&gt;"",TRUE)</f>
        <v>1</v>
      </c>
      <c r="H613" t="str">
        <f t="shared" si="18"/>
        <v>Row 106 - If ‘TEU type’ is ‘TEU’ then ‘TEU Id’ is required</v>
      </c>
      <c r="I613" t="s">
        <v>1391</v>
      </c>
      <c r="J613" t="b">
        <f>IF(OR(INDEX(OHZ_HAZ_UNITTYPE,106,1)="TEU",),INDEX(OHZ_HAZ_TEUID,106,1)&lt;&gt;"",TRUE)</f>
        <v>1</v>
      </c>
      <c r="K613" t="str">
        <f t="shared" si="19"/>
        <v>Row 106 - If ‘TEU type’ is ‘TEU’ then ‘TEU Id’ is required</v>
      </c>
      <c r="L613" t="s">
        <v>1391</v>
      </c>
    </row>
    <row r="614" spans="7:12" x14ac:dyDescent="0.25">
      <c r="G614" t="b">
        <f>IF(OR(INDEX(IHZ_HAZ_UNITTYPE,107,1)="TEU",),INDEX(IHZ_HAZ_TEUID,107,1)&lt;&gt;"",TRUE)</f>
        <v>1</v>
      </c>
      <c r="H614" t="str">
        <f t="shared" si="18"/>
        <v>Row 107 - If ‘TEU type’ is ‘TEU’ then ‘TEU Id’ is required</v>
      </c>
      <c r="I614" t="s">
        <v>1391</v>
      </c>
      <c r="J614" t="b">
        <f>IF(OR(INDEX(OHZ_HAZ_UNITTYPE,107,1)="TEU",),INDEX(OHZ_HAZ_TEUID,107,1)&lt;&gt;"",TRUE)</f>
        <v>1</v>
      </c>
      <c r="K614" t="str">
        <f t="shared" si="19"/>
        <v>Row 107 - If ‘TEU type’ is ‘TEU’ then ‘TEU Id’ is required</v>
      </c>
      <c r="L614" t="s">
        <v>1391</v>
      </c>
    </row>
    <row r="615" spans="7:12" x14ac:dyDescent="0.25">
      <c r="G615" t="b">
        <f>IF(OR(INDEX(IHZ_HAZ_UNITTYPE,108,1)="TEU",),INDEX(IHZ_HAZ_TEUID,108,1)&lt;&gt;"",TRUE)</f>
        <v>1</v>
      </c>
      <c r="H615" t="str">
        <f t="shared" si="18"/>
        <v>Row 108 - If ‘TEU type’ is ‘TEU’ then ‘TEU Id’ is required</v>
      </c>
      <c r="I615" t="s">
        <v>1391</v>
      </c>
      <c r="J615" t="b">
        <f>IF(OR(INDEX(OHZ_HAZ_UNITTYPE,108,1)="TEU",),INDEX(OHZ_HAZ_TEUID,108,1)&lt;&gt;"",TRUE)</f>
        <v>1</v>
      </c>
      <c r="K615" t="str">
        <f t="shared" si="19"/>
        <v>Row 108 - If ‘TEU type’ is ‘TEU’ then ‘TEU Id’ is required</v>
      </c>
      <c r="L615" t="s">
        <v>1391</v>
      </c>
    </row>
    <row r="616" spans="7:12" x14ac:dyDescent="0.25">
      <c r="G616" t="b">
        <f>IF(OR(INDEX(IHZ_HAZ_UNITTYPE,109,1)="TEU",),INDEX(IHZ_HAZ_TEUID,109,1)&lt;&gt;"",TRUE)</f>
        <v>1</v>
      </c>
      <c r="H616" t="str">
        <f t="shared" si="18"/>
        <v>Row 109 - If ‘TEU type’ is ‘TEU’ then ‘TEU Id’ is required</v>
      </c>
      <c r="I616" t="s">
        <v>1391</v>
      </c>
      <c r="J616" t="b">
        <f>IF(OR(INDEX(OHZ_HAZ_UNITTYPE,109,1)="TEU",),INDEX(OHZ_HAZ_TEUID,109,1)&lt;&gt;"",TRUE)</f>
        <v>1</v>
      </c>
      <c r="K616" t="str">
        <f t="shared" si="19"/>
        <v>Row 109 - If ‘TEU type’ is ‘TEU’ then ‘TEU Id’ is required</v>
      </c>
      <c r="L616" t="s">
        <v>1391</v>
      </c>
    </row>
    <row r="617" spans="7:12" x14ac:dyDescent="0.25">
      <c r="G617" t="b">
        <f>IF(OR(INDEX(IHZ_HAZ_UNITTYPE,110,1)="TEU",),INDEX(IHZ_HAZ_TEUID,110,1)&lt;&gt;"",TRUE)</f>
        <v>1</v>
      </c>
      <c r="H617" t="str">
        <f t="shared" si="18"/>
        <v>Row 110 - If ‘TEU type’ is ‘TEU’ then ‘TEU Id’ is required</v>
      </c>
      <c r="I617" t="s">
        <v>1391</v>
      </c>
      <c r="J617" t="b">
        <f>IF(OR(INDEX(OHZ_HAZ_UNITTYPE,110,1)="TEU",),INDEX(OHZ_HAZ_TEUID,110,1)&lt;&gt;"",TRUE)</f>
        <v>1</v>
      </c>
      <c r="K617" t="str">
        <f t="shared" si="19"/>
        <v>Row 110 - If ‘TEU type’ is ‘TEU’ then ‘TEU Id’ is required</v>
      </c>
      <c r="L617" t="s">
        <v>1391</v>
      </c>
    </row>
    <row r="618" spans="7:12" x14ac:dyDescent="0.25">
      <c r="G618" t="b">
        <f>IF(OR(INDEX(IHZ_HAZ_UNITTYPE,111,1)="TEU",),INDEX(IHZ_HAZ_TEUID,111,1)&lt;&gt;"",TRUE)</f>
        <v>1</v>
      </c>
      <c r="H618" t="str">
        <f t="shared" si="18"/>
        <v>Row 111 - If ‘TEU type’ is ‘TEU’ then ‘TEU Id’ is required</v>
      </c>
      <c r="I618" t="s">
        <v>1391</v>
      </c>
      <c r="J618" t="b">
        <f>IF(OR(INDEX(OHZ_HAZ_UNITTYPE,111,1)="TEU",),INDEX(OHZ_HAZ_TEUID,111,1)&lt;&gt;"",TRUE)</f>
        <v>1</v>
      </c>
      <c r="K618" t="str">
        <f t="shared" si="19"/>
        <v>Row 111 - If ‘TEU type’ is ‘TEU’ then ‘TEU Id’ is required</v>
      </c>
      <c r="L618" t="s">
        <v>1391</v>
      </c>
    </row>
    <row r="619" spans="7:12" x14ac:dyDescent="0.25">
      <c r="G619" t="b">
        <f>IF(OR(INDEX(IHZ_HAZ_UNITTYPE,112,1)="TEU",),INDEX(IHZ_HAZ_TEUID,112,1)&lt;&gt;"",TRUE)</f>
        <v>1</v>
      </c>
      <c r="H619" t="str">
        <f t="shared" si="18"/>
        <v>Row 112 - If ‘TEU type’ is ‘TEU’ then ‘TEU Id’ is required</v>
      </c>
      <c r="I619" t="s">
        <v>1391</v>
      </c>
      <c r="J619" t="b">
        <f>IF(OR(INDEX(OHZ_HAZ_UNITTYPE,112,1)="TEU",),INDEX(OHZ_HAZ_TEUID,112,1)&lt;&gt;"",TRUE)</f>
        <v>1</v>
      </c>
      <c r="K619" t="str">
        <f t="shared" si="19"/>
        <v>Row 112 - If ‘TEU type’ is ‘TEU’ then ‘TEU Id’ is required</v>
      </c>
      <c r="L619" t="s">
        <v>1391</v>
      </c>
    </row>
    <row r="620" spans="7:12" x14ac:dyDescent="0.25">
      <c r="G620" t="b">
        <f>IF(OR(INDEX(IHZ_HAZ_UNITTYPE,113,1)="TEU",),INDEX(IHZ_HAZ_TEUID,113,1)&lt;&gt;"",TRUE)</f>
        <v>1</v>
      </c>
      <c r="H620" t="str">
        <f t="shared" si="18"/>
        <v>Row 113 - If ‘TEU type’ is ‘TEU’ then ‘TEU Id’ is required</v>
      </c>
      <c r="I620" t="s">
        <v>1391</v>
      </c>
      <c r="J620" t="b">
        <f>IF(OR(INDEX(OHZ_HAZ_UNITTYPE,113,1)="TEU",),INDEX(OHZ_HAZ_TEUID,113,1)&lt;&gt;"",TRUE)</f>
        <v>1</v>
      </c>
      <c r="K620" t="str">
        <f t="shared" si="19"/>
        <v>Row 113 - If ‘TEU type’ is ‘TEU’ then ‘TEU Id’ is required</v>
      </c>
      <c r="L620" t="s">
        <v>1391</v>
      </c>
    </row>
    <row r="621" spans="7:12" x14ac:dyDescent="0.25">
      <c r="G621" t="b">
        <f>IF(OR(INDEX(IHZ_HAZ_UNITTYPE,114,1)="TEU",),INDEX(IHZ_HAZ_TEUID,114,1)&lt;&gt;"",TRUE)</f>
        <v>1</v>
      </c>
      <c r="H621" t="str">
        <f t="shared" si="18"/>
        <v>Row 114 - If ‘TEU type’ is ‘TEU’ then ‘TEU Id’ is required</v>
      </c>
      <c r="I621" t="s">
        <v>1391</v>
      </c>
      <c r="J621" t="b">
        <f>IF(OR(INDEX(OHZ_HAZ_UNITTYPE,114,1)="TEU",),INDEX(OHZ_HAZ_TEUID,114,1)&lt;&gt;"",TRUE)</f>
        <v>1</v>
      </c>
      <c r="K621" t="str">
        <f t="shared" si="19"/>
        <v>Row 114 - If ‘TEU type’ is ‘TEU’ then ‘TEU Id’ is required</v>
      </c>
      <c r="L621" t="s">
        <v>1391</v>
      </c>
    </row>
    <row r="622" spans="7:12" x14ac:dyDescent="0.25">
      <c r="G622" t="b">
        <f>IF(OR(INDEX(IHZ_HAZ_UNITTYPE,115,1)="TEU",),INDEX(IHZ_HAZ_TEUID,115,1)&lt;&gt;"",TRUE)</f>
        <v>1</v>
      </c>
      <c r="H622" t="str">
        <f t="shared" si="18"/>
        <v>Row 115 - If ‘TEU type’ is ‘TEU’ then ‘TEU Id’ is required</v>
      </c>
      <c r="I622" t="s">
        <v>1391</v>
      </c>
      <c r="J622" t="b">
        <f>IF(OR(INDEX(OHZ_HAZ_UNITTYPE,115,1)="TEU",),INDEX(OHZ_HAZ_TEUID,115,1)&lt;&gt;"",TRUE)</f>
        <v>1</v>
      </c>
      <c r="K622" t="str">
        <f t="shared" si="19"/>
        <v>Row 115 - If ‘TEU type’ is ‘TEU’ then ‘TEU Id’ is required</v>
      </c>
      <c r="L622" t="s">
        <v>1391</v>
      </c>
    </row>
    <row r="623" spans="7:12" x14ac:dyDescent="0.25">
      <c r="G623" t="b">
        <f>IF(OR(INDEX(IHZ_HAZ_UNITTYPE,116,1)="TEU",),INDEX(IHZ_HAZ_TEUID,116,1)&lt;&gt;"",TRUE)</f>
        <v>1</v>
      </c>
      <c r="H623" t="str">
        <f t="shared" si="18"/>
        <v>Row 116 - If ‘TEU type’ is ‘TEU’ then ‘TEU Id’ is required</v>
      </c>
      <c r="I623" t="s">
        <v>1391</v>
      </c>
      <c r="J623" t="b">
        <f>IF(OR(INDEX(OHZ_HAZ_UNITTYPE,116,1)="TEU",),INDEX(OHZ_HAZ_TEUID,116,1)&lt;&gt;"",TRUE)</f>
        <v>1</v>
      </c>
      <c r="K623" t="str">
        <f t="shared" si="19"/>
        <v>Row 116 - If ‘TEU type’ is ‘TEU’ then ‘TEU Id’ is required</v>
      </c>
      <c r="L623" t="s">
        <v>1391</v>
      </c>
    </row>
    <row r="624" spans="7:12" x14ac:dyDescent="0.25">
      <c r="G624" t="b">
        <f>IF(OR(INDEX(IHZ_HAZ_UNITTYPE,117,1)="TEU",),INDEX(IHZ_HAZ_TEUID,117,1)&lt;&gt;"",TRUE)</f>
        <v>1</v>
      </c>
      <c r="H624" t="str">
        <f t="shared" si="18"/>
        <v>Row 117 - If ‘TEU type’ is ‘TEU’ then ‘TEU Id’ is required</v>
      </c>
      <c r="I624" t="s">
        <v>1391</v>
      </c>
      <c r="J624" t="b">
        <f>IF(OR(INDEX(OHZ_HAZ_UNITTYPE,117,1)="TEU",),INDEX(OHZ_HAZ_TEUID,117,1)&lt;&gt;"",TRUE)</f>
        <v>1</v>
      </c>
      <c r="K624" t="str">
        <f t="shared" si="19"/>
        <v>Row 117 - If ‘TEU type’ is ‘TEU’ then ‘TEU Id’ is required</v>
      </c>
      <c r="L624" t="s">
        <v>1391</v>
      </c>
    </row>
    <row r="625" spans="7:12" x14ac:dyDescent="0.25">
      <c r="G625" t="b">
        <f>IF(OR(INDEX(IHZ_HAZ_UNITTYPE,118,1)="TEU",),INDEX(IHZ_HAZ_TEUID,118,1)&lt;&gt;"",TRUE)</f>
        <v>1</v>
      </c>
      <c r="H625" t="str">
        <f t="shared" si="18"/>
        <v>Row 118 - If ‘TEU type’ is ‘TEU’ then ‘TEU Id’ is required</v>
      </c>
      <c r="I625" t="s">
        <v>1391</v>
      </c>
      <c r="J625" t="b">
        <f>IF(OR(INDEX(OHZ_HAZ_UNITTYPE,118,1)="TEU",),INDEX(OHZ_HAZ_TEUID,118,1)&lt;&gt;"",TRUE)</f>
        <v>1</v>
      </c>
      <c r="K625" t="str">
        <f t="shared" si="19"/>
        <v>Row 118 - If ‘TEU type’ is ‘TEU’ then ‘TEU Id’ is required</v>
      </c>
      <c r="L625" t="s">
        <v>1391</v>
      </c>
    </row>
    <row r="626" spans="7:12" x14ac:dyDescent="0.25">
      <c r="G626" t="b">
        <f>IF(OR(INDEX(IHZ_HAZ_UNITTYPE,119,1)="TEU",),INDEX(IHZ_HAZ_TEUID,119,1)&lt;&gt;"",TRUE)</f>
        <v>1</v>
      </c>
      <c r="H626" t="str">
        <f t="shared" si="18"/>
        <v>Row 119 - If ‘TEU type’ is ‘TEU’ then ‘TEU Id’ is required</v>
      </c>
      <c r="I626" t="s">
        <v>1391</v>
      </c>
      <c r="J626" t="b">
        <f>IF(OR(INDEX(OHZ_HAZ_UNITTYPE,119,1)="TEU",),INDEX(OHZ_HAZ_TEUID,119,1)&lt;&gt;"",TRUE)</f>
        <v>1</v>
      </c>
      <c r="K626" t="str">
        <f t="shared" si="19"/>
        <v>Row 119 - If ‘TEU type’ is ‘TEU’ then ‘TEU Id’ is required</v>
      </c>
      <c r="L626" t="s">
        <v>1391</v>
      </c>
    </row>
    <row r="627" spans="7:12" x14ac:dyDescent="0.25">
      <c r="G627" t="b">
        <f>IF(OR(INDEX(IHZ_HAZ_UNITTYPE,120,1)="TEU",),INDEX(IHZ_HAZ_TEUID,120,1)&lt;&gt;"",TRUE)</f>
        <v>1</v>
      </c>
      <c r="H627" t="str">
        <f t="shared" si="18"/>
        <v>Row 120 - If ‘TEU type’ is ‘TEU’ then ‘TEU Id’ is required</v>
      </c>
      <c r="I627" t="s">
        <v>1391</v>
      </c>
      <c r="J627" t="b">
        <f>IF(OR(INDEX(OHZ_HAZ_UNITTYPE,120,1)="TEU",),INDEX(OHZ_HAZ_TEUID,120,1)&lt;&gt;"",TRUE)</f>
        <v>1</v>
      </c>
      <c r="K627" t="str">
        <f t="shared" si="19"/>
        <v>Row 120 - If ‘TEU type’ is ‘TEU’ then ‘TEU Id’ is required</v>
      </c>
      <c r="L627" t="s">
        <v>1391</v>
      </c>
    </row>
    <row r="628" spans="7:12" x14ac:dyDescent="0.25">
      <c r="G628" t="b">
        <f>IF(OR(INDEX(IHZ_HAZ_UNITTYPE,121,1)="TEU",),INDEX(IHZ_HAZ_TEUID,121,1)&lt;&gt;"",TRUE)</f>
        <v>1</v>
      </c>
      <c r="H628" t="str">
        <f t="shared" si="18"/>
        <v>Row 121 - If ‘TEU type’ is ‘TEU’ then ‘TEU Id’ is required</v>
      </c>
      <c r="I628" t="s">
        <v>1391</v>
      </c>
      <c r="J628" t="b">
        <f>IF(OR(INDEX(OHZ_HAZ_UNITTYPE,121,1)="TEU",),INDEX(OHZ_HAZ_TEUID,121,1)&lt;&gt;"",TRUE)</f>
        <v>1</v>
      </c>
      <c r="K628" t="str">
        <f t="shared" si="19"/>
        <v>Row 121 - If ‘TEU type’ is ‘TEU’ then ‘TEU Id’ is required</v>
      </c>
      <c r="L628" t="s">
        <v>1391</v>
      </c>
    </row>
    <row r="629" spans="7:12" x14ac:dyDescent="0.25">
      <c r="G629" t="b">
        <f>IF(OR(INDEX(IHZ_HAZ_UNITTYPE,122,1)="TEU",),INDEX(IHZ_HAZ_TEUID,122,1)&lt;&gt;"",TRUE)</f>
        <v>1</v>
      </c>
      <c r="H629" t="str">
        <f t="shared" si="18"/>
        <v>Row 122 - If ‘TEU type’ is ‘TEU’ then ‘TEU Id’ is required</v>
      </c>
      <c r="I629" t="s">
        <v>1391</v>
      </c>
      <c r="J629" t="b">
        <f>IF(OR(INDEX(OHZ_HAZ_UNITTYPE,122,1)="TEU",),INDEX(OHZ_HAZ_TEUID,122,1)&lt;&gt;"",TRUE)</f>
        <v>1</v>
      </c>
      <c r="K629" t="str">
        <f t="shared" si="19"/>
        <v>Row 122 - If ‘TEU type’ is ‘TEU’ then ‘TEU Id’ is required</v>
      </c>
      <c r="L629" t="s">
        <v>1391</v>
      </c>
    </row>
    <row r="630" spans="7:12" x14ac:dyDescent="0.25">
      <c r="G630" t="b">
        <f>IF(OR(INDEX(IHZ_HAZ_UNITTYPE,123,1)="TEU",),INDEX(IHZ_HAZ_TEUID,123,1)&lt;&gt;"",TRUE)</f>
        <v>1</v>
      </c>
      <c r="H630" t="str">
        <f t="shared" si="18"/>
        <v>Row 123 - If ‘TEU type’ is ‘TEU’ then ‘TEU Id’ is required</v>
      </c>
      <c r="I630" t="s">
        <v>1391</v>
      </c>
      <c r="J630" t="b">
        <f>IF(OR(INDEX(OHZ_HAZ_UNITTYPE,123,1)="TEU",),INDEX(OHZ_HAZ_TEUID,123,1)&lt;&gt;"",TRUE)</f>
        <v>1</v>
      </c>
      <c r="K630" t="str">
        <f t="shared" si="19"/>
        <v>Row 123 - If ‘TEU type’ is ‘TEU’ then ‘TEU Id’ is required</v>
      </c>
      <c r="L630" t="s">
        <v>1391</v>
      </c>
    </row>
    <row r="631" spans="7:12" x14ac:dyDescent="0.25">
      <c r="G631" t="b">
        <f>IF(OR(INDEX(IHZ_HAZ_UNITTYPE,124,1)="TEU",),INDEX(IHZ_HAZ_TEUID,124,1)&lt;&gt;"",TRUE)</f>
        <v>1</v>
      </c>
      <c r="H631" t="str">
        <f t="shared" si="18"/>
        <v>Row 124 - If ‘TEU type’ is ‘TEU’ then ‘TEU Id’ is required</v>
      </c>
      <c r="I631" t="s">
        <v>1391</v>
      </c>
      <c r="J631" t="b">
        <f>IF(OR(INDEX(OHZ_HAZ_UNITTYPE,124,1)="TEU",),INDEX(OHZ_HAZ_TEUID,124,1)&lt;&gt;"",TRUE)</f>
        <v>1</v>
      </c>
      <c r="K631" t="str">
        <f t="shared" si="19"/>
        <v>Row 124 - If ‘TEU type’ is ‘TEU’ then ‘TEU Id’ is required</v>
      </c>
      <c r="L631" t="s">
        <v>1391</v>
      </c>
    </row>
    <row r="632" spans="7:12" x14ac:dyDescent="0.25">
      <c r="G632" t="b">
        <f>IF(OR(INDEX(IHZ_HAZ_UNITTYPE,125,1)="TEU",),INDEX(IHZ_HAZ_TEUID,125,1)&lt;&gt;"",TRUE)</f>
        <v>1</v>
      </c>
      <c r="H632" t="str">
        <f t="shared" si="18"/>
        <v>Row 125 - If ‘TEU type’ is ‘TEU’ then ‘TEU Id’ is required</v>
      </c>
      <c r="I632" t="s">
        <v>1391</v>
      </c>
      <c r="J632" t="b">
        <f>IF(OR(INDEX(OHZ_HAZ_UNITTYPE,125,1)="TEU",),INDEX(OHZ_HAZ_TEUID,125,1)&lt;&gt;"",TRUE)</f>
        <v>1</v>
      </c>
      <c r="K632" t="str">
        <f t="shared" si="19"/>
        <v>Row 125 - If ‘TEU type’ is ‘TEU’ then ‘TEU Id’ is required</v>
      </c>
      <c r="L632" t="s">
        <v>1391</v>
      </c>
    </row>
    <row r="633" spans="7:12" x14ac:dyDescent="0.25">
      <c r="G633" t="b">
        <f>IF(OR(INDEX(IHZ_HAZ_UNITTYPE,126,1)="TEU",),INDEX(IHZ_HAZ_TEUID,126,1)&lt;&gt;"",TRUE)</f>
        <v>1</v>
      </c>
      <c r="H633" t="str">
        <f t="shared" si="18"/>
        <v>Row 126 - If ‘TEU type’ is ‘TEU’ then ‘TEU Id’ is required</v>
      </c>
      <c r="I633" t="s">
        <v>1391</v>
      </c>
      <c r="J633" t="b">
        <f>IF(OR(INDEX(OHZ_HAZ_UNITTYPE,126,1)="TEU",),INDEX(OHZ_HAZ_TEUID,126,1)&lt;&gt;"",TRUE)</f>
        <v>1</v>
      </c>
      <c r="K633" t="str">
        <f t="shared" si="19"/>
        <v>Row 126 - If ‘TEU type’ is ‘TEU’ then ‘TEU Id’ is required</v>
      </c>
      <c r="L633" t="s">
        <v>1391</v>
      </c>
    </row>
    <row r="634" spans="7:12" x14ac:dyDescent="0.25">
      <c r="G634" t="b">
        <f>IF(OR(INDEX(IHZ_HAZ_UNITTYPE,127,1)="TEU",),INDEX(IHZ_HAZ_TEUID,127,1)&lt;&gt;"",TRUE)</f>
        <v>1</v>
      </c>
      <c r="H634" t="str">
        <f t="shared" si="18"/>
        <v>Row 127 - If ‘TEU type’ is ‘TEU’ then ‘TEU Id’ is required</v>
      </c>
      <c r="I634" t="s">
        <v>1391</v>
      </c>
      <c r="J634" t="b">
        <f>IF(OR(INDEX(OHZ_HAZ_UNITTYPE,127,1)="TEU",),INDEX(OHZ_HAZ_TEUID,127,1)&lt;&gt;"",TRUE)</f>
        <v>1</v>
      </c>
      <c r="K634" t="str">
        <f t="shared" si="19"/>
        <v>Row 127 - If ‘TEU type’ is ‘TEU’ then ‘TEU Id’ is required</v>
      </c>
      <c r="L634" t="s">
        <v>1391</v>
      </c>
    </row>
    <row r="635" spans="7:12" x14ac:dyDescent="0.25">
      <c r="G635" t="b">
        <f>IF(OR(INDEX(IHZ_HAZ_UNITTYPE,128,1)="TEU",),INDEX(IHZ_HAZ_TEUID,128,1)&lt;&gt;"",TRUE)</f>
        <v>1</v>
      </c>
      <c r="H635" t="str">
        <f t="shared" si="18"/>
        <v>Row 128 - If ‘TEU type’ is ‘TEU’ then ‘TEU Id’ is required</v>
      </c>
      <c r="I635" t="s">
        <v>1391</v>
      </c>
      <c r="J635" t="b">
        <f>IF(OR(INDEX(OHZ_HAZ_UNITTYPE,128,1)="TEU",),INDEX(OHZ_HAZ_TEUID,128,1)&lt;&gt;"",TRUE)</f>
        <v>1</v>
      </c>
      <c r="K635" t="str">
        <f t="shared" si="19"/>
        <v>Row 128 - If ‘TEU type’ is ‘TEU’ then ‘TEU Id’ is required</v>
      </c>
      <c r="L635" t="s">
        <v>1391</v>
      </c>
    </row>
    <row r="636" spans="7:12" x14ac:dyDescent="0.25">
      <c r="G636" t="b">
        <f>IF(OR(INDEX(IHZ_HAZ_UNITTYPE,129,1)="TEU",),INDEX(IHZ_HAZ_TEUID,129,1)&lt;&gt;"",TRUE)</f>
        <v>1</v>
      </c>
      <c r="H636" t="str">
        <f t="shared" si="18"/>
        <v>Row 129 - If ‘TEU type’ is ‘TEU’ then ‘TEU Id’ is required</v>
      </c>
      <c r="I636" t="s">
        <v>1391</v>
      </c>
      <c r="J636" t="b">
        <f>IF(OR(INDEX(OHZ_HAZ_UNITTYPE,129,1)="TEU",),INDEX(OHZ_HAZ_TEUID,129,1)&lt;&gt;"",TRUE)</f>
        <v>1</v>
      </c>
      <c r="K636" t="str">
        <f t="shared" si="19"/>
        <v>Row 129 - If ‘TEU type’ is ‘TEU’ then ‘TEU Id’ is required</v>
      </c>
      <c r="L636" t="s">
        <v>1391</v>
      </c>
    </row>
    <row r="637" spans="7:12" x14ac:dyDescent="0.25">
      <c r="G637" t="b">
        <f>IF(OR(INDEX(IHZ_HAZ_UNITTYPE,130,1)="TEU",),INDEX(IHZ_HAZ_TEUID,130,1)&lt;&gt;"",TRUE)</f>
        <v>1</v>
      </c>
      <c r="H637" t="str">
        <f t="shared" ref="H637:H700" si="20">T130&amp;$V$3</f>
        <v>Row 130 - If ‘TEU type’ is ‘TEU’ then ‘TEU Id’ is required</v>
      </c>
      <c r="I637" t="s">
        <v>1391</v>
      </c>
      <c r="J637" t="b">
        <f>IF(OR(INDEX(OHZ_HAZ_UNITTYPE,130,1)="TEU",),INDEX(OHZ_HAZ_TEUID,130,1)&lt;&gt;"",TRUE)</f>
        <v>1</v>
      </c>
      <c r="K637" t="str">
        <f t="shared" ref="K637:K700" si="21">T130&amp;$V$3</f>
        <v>Row 130 - If ‘TEU type’ is ‘TEU’ then ‘TEU Id’ is required</v>
      </c>
      <c r="L637" t="s">
        <v>1391</v>
      </c>
    </row>
    <row r="638" spans="7:12" x14ac:dyDescent="0.25">
      <c r="G638" t="b">
        <f>IF(OR(INDEX(IHZ_HAZ_UNITTYPE,131,1)="TEU",),INDEX(IHZ_HAZ_TEUID,131,1)&lt;&gt;"",TRUE)</f>
        <v>1</v>
      </c>
      <c r="H638" t="str">
        <f t="shared" si="20"/>
        <v>Row 131 - If ‘TEU type’ is ‘TEU’ then ‘TEU Id’ is required</v>
      </c>
      <c r="I638" t="s">
        <v>1391</v>
      </c>
      <c r="J638" t="b">
        <f>IF(OR(INDEX(OHZ_HAZ_UNITTYPE,131,1)="TEU",),INDEX(OHZ_HAZ_TEUID,131,1)&lt;&gt;"",TRUE)</f>
        <v>1</v>
      </c>
      <c r="K638" t="str">
        <f t="shared" si="21"/>
        <v>Row 131 - If ‘TEU type’ is ‘TEU’ then ‘TEU Id’ is required</v>
      </c>
      <c r="L638" t="s">
        <v>1391</v>
      </c>
    </row>
    <row r="639" spans="7:12" x14ac:dyDescent="0.25">
      <c r="G639" t="b">
        <f>IF(OR(INDEX(IHZ_HAZ_UNITTYPE,132,1)="TEU",),INDEX(IHZ_HAZ_TEUID,132,1)&lt;&gt;"",TRUE)</f>
        <v>1</v>
      </c>
      <c r="H639" t="str">
        <f t="shared" si="20"/>
        <v>Row 132 - If ‘TEU type’ is ‘TEU’ then ‘TEU Id’ is required</v>
      </c>
      <c r="I639" t="s">
        <v>1391</v>
      </c>
      <c r="J639" t="b">
        <f>IF(OR(INDEX(OHZ_HAZ_UNITTYPE,132,1)="TEU",),INDEX(OHZ_HAZ_TEUID,132,1)&lt;&gt;"",TRUE)</f>
        <v>1</v>
      </c>
      <c r="K639" t="str">
        <f t="shared" si="21"/>
        <v>Row 132 - If ‘TEU type’ is ‘TEU’ then ‘TEU Id’ is required</v>
      </c>
      <c r="L639" t="s">
        <v>1391</v>
      </c>
    </row>
    <row r="640" spans="7:12" x14ac:dyDescent="0.25">
      <c r="G640" t="b">
        <f>IF(OR(INDEX(IHZ_HAZ_UNITTYPE,133,1)="TEU",),INDEX(IHZ_HAZ_TEUID,133,1)&lt;&gt;"",TRUE)</f>
        <v>1</v>
      </c>
      <c r="H640" t="str">
        <f t="shared" si="20"/>
        <v>Row 133 - If ‘TEU type’ is ‘TEU’ then ‘TEU Id’ is required</v>
      </c>
      <c r="I640" t="s">
        <v>1391</v>
      </c>
      <c r="J640" t="b">
        <f>IF(OR(INDEX(OHZ_HAZ_UNITTYPE,133,1)="TEU",),INDEX(OHZ_HAZ_TEUID,133,1)&lt;&gt;"",TRUE)</f>
        <v>1</v>
      </c>
      <c r="K640" t="str">
        <f t="shared" si="21"/>
        <v>Row 133 - If ‘TEU type’ is ‘TEU’ then ‘TEU Id’ is required</v>
      </c>
      <c r="L640" t="s">
        <v>1391</v>
      </c>
    </row>
    <row r="641" spans="7:12" x14ac:dyDescent="0.25">
      <c r="G641" t="b">
        <f>IF(OR(INDEX(IHZ_HAZ_UNITTYPE,134,1)="TEU",),INDEX(IHZ_HAZ_TEUID,134,1)&lt;&gt;"",TRUE)</f>
        <v>1</v>
      </c>
      <c r="H641" t="str">
        <f t="shared" si="20"/>
        <v>Row 134 - If ‘TEU type’ is ‘TEU’ then ‘TEU Id’ is required</v>
      </c>
      <c r="I641" t="s">
        <v>1391</v>
      </c>
      <c r="J641" t="b">
        <f>IF(OR(INDEX(OHZ_HAZ_UNITTYPE,134,1)="TEU",),INDEX(OHZ_HAZ_TEUID,134,1)&lt;&gt;"",TRUE)</f>
        <v>1</v>
      </c>
      <c r="K641" t="str">
        <f t="shared" si="21"/>
        <v>Row 134 - If ‘TEU type’ is ‘TEU’ then ‘TEU Id’ is required</v>
      </c>
      <c r="L641" t="s">
        <v>1391</v>
      </c>
    </row>
    <row r="642" spans="7:12" x14ac:dyDescent="0.25">
      <c r="G642" t="b">
        <f>IF(OR(INDEX(IHZ_HAZ_UNITTYPE,135,1)="TEU",),INDEX(IHZ_HAZ_TEUID,135,1)&lt;&gt;"",TRUE)</f>
        <v>1</v>
      </c>
      <c r="H642" t="str">
        <f t="shared" si="20"/>
        <v>Row 135 - If ‘TEU type’ is ‘TEU’ then ‘TEU Id’ is required</v>
      </c>
      <c r="I642" t="s">
        <v>1391</v>
      </c>
      <c r="J642" t="b">
        <f>IF(OR(INDEX(OHZ_HAZ_UNITTYPE,135,1)="TEU",),INDEX(OHZ_HAZ_TEUID,135,1)&lt;&gt;"",TRUE)</f>
        <v>1</v>
      </c>
      <c r="K642" t="str">
        <f t="shared" si="21"/>
        <v>Row 135 - If ‘TEU type’ is ‘TEU’ then ‘TEU Id’ is required</v>
      </c>
      <c r="L642" t="s">
        <v>1391</v>
      </c>
    </row>
    <row r="643" spans="7:12" x14ac:dyDescent="0.25">
      <c r="G643" t="b">
        <f>IF(OR(INDEX(IHZ_HAZ_UNITTYPE,136,1)="TEU",),INDEX(IHZ_HAZ_TEUID,136,1)&lt;&gt;"",TRUE)</f>
        <v>1</v>
      </c>
      <c r="H643" t="str">
        <f t="shared" si="20"/>
        <v>Row 136 - If ‘TEU type’ is ‘TEU’ then ‘TEU Id’ is required</v>
      </c>
      <c r="I643" t="s">
        <v>1391</v>
      </c>
      <c r="J643" t="b">
        <f>IF(OR(INDEX(OHZ_HAZ_UNITTYPE,136,1)="TEU",),INDEX(OHZ_HAZ_TEUID,136,1)&lt;&gt;"",TRUE)</f>
        <v>1</v>
      </c>
      <c r="K643" t="str">
        <f t="shared" si="21"/>
        <v>Row 136 - If ‘TEU type’ is ‘TEU’ then ‘TEU Id’ is required</v>
      </c>
      <c r="L643" t="s">
        <v>1391</v>
      </c>
    </row>
    <row r="644" spans="7:12" x14ac:dyDescent="0.25">
      <c r="G644" t="b">
        <f>IF(OR(INDEX(IHZ_HAZ_UNITTYPE,137,1)="TEU",),INDEX(IHZ_HAZ_TEUID,137,1)&lt;&gt;"",TRUE)</f>
        <v>1</v>
      </c>
      <c r="H644" t="str">
        <f t="shared" si="20"/>
        <v>Row 137 - If ‘TEU type’ is ‘TEU’ then ‘TEU Id’ is required</v>
      </c>
      <c r="I644" t="s">
        <v>1391</v>
      </c>
      <c r="J644" t="b">
        <f>IF(OR(INDEX(OHZ_HAZ_UNITTYPE,137,1)="TEU",),INDEX(OHZ_HAZ_TEUID,137,1)&lt;&gt;"",TRUE)</f>
        <v>1</v>
      </c>
      <c r="K644" t="str">
        <f t="shared" si="21"/>
        <v>Row 137 - If ‘TEU type’ is ‘TEU’ then ‘TEU Id’ is required</v>
      </c>
      <c r="L644" t="s">
        <v>1391</v>
      </c>
    </row>
    <row r="645" spans="7:12" x14ac:dyDescent="0.25">
      <c r="G645" t="b">
        <f>IF(OR(INDEX(IHZ_HAZ_UNITTYPE,138,1)="TEU",),INDEX(IHZ_HAZ_TEUID,138,1)&lt;&gt;"",TRUE)</f>
        <v>1</v>
      </c>
      <c r="H645" t="str">
        <f t="shared" si="20"/>
        <v>Row 138 - If ‘TEU type’ is ‘TEU’ then ‘TEU Id’ is required</v>
      </c>
      <c r="I645" t="s">
        <v>1391</v>
      </c>
      <c r="J645" t="b">
        <f>IF(OR(INDEX(OHZ_HAZ_UNITTYPE,138,1)="TEU",),INDEX(OHZ_HAZ_TEUID,138,1)&lt;&gt;"",TRUE)</f>
        <v>1</v>
      </c>
      <c r="K645" t="str">
        <f t="shared" si="21"/>
        <v>Row 138 - If ‘TEU type’ is ‘TEU’ then ‘TEU Id’ is required</v>
      </c>
      <c r="L645" t="s">
        <v>1391</v>
      </c>
    </row>
    <row r="646" spans="7:12" x14ac:dyDescent="0.25">
      <c r="G646" t="b">
        <f>IF(OR(INDEX(IHZ_HAZ_UNITTYPE,139,1)="TEU",),INDEX(IHZ_HAZ_TEUID,139,1)&lt;&gt;"",TRUE)</f>
        <v>1</v>
      </c>
      <c r="H646" t="str">
        <f t="shared" si="20"/>
        <v>Row 139 - If ‘TEU type’ is ‘TEU’ then ‘TEU Id’ is required</v>
      </c>
      <c r="I646" t="s">
        <v>1391</v>
      </c>
      <c r="J646" t="b">
        <f>IF(OR(INDEX(OHZ_HAZ_UNITTYPE,139,1)="TEU",),INDEX(OHZ_HAZ_TEUID,139,1)&lt;&gt;"",TRUE)</f>
        <v>1</v>
      </c>
      <c r="K646" t="str">
        <f t="shared" si="21"/>
        <v>Row 139 - If ‘TEU type’ is ‘TEU’ then ‘TEU Id’ is required</v>
      </c>
      <c r="L646" t="s">
        <v>1391</v>
      </c>
    </row>
    <row r="647" spans="7:12" x14ac:dyDescent="0.25">
      <c r="G647" t="b">
        <f>IF(OR(INDEX(IHZ_HAZ_UNITTYPE,140,1)="TEU",),INDEX(IHZ_HAZ_TEUID,140,1)&lt;&gt;"",TRUE)</f>
        <v>1</v>
      </c>
      <c r="H647" t="str">
        <f t="shared" si="20"/>
        <v>Row 140 - If ‘TEU type’ is ‘TEU’ then ‘TEU Id’ is required</v>
      </c>
      <c r="I647" t="s">
        <v>1391</v>
      </c>
      <c r="J647" t="b">
        <f>IF(OR(INDEX(OHZ_HAZ_UNITTYPE,140,1)="TEU",),INDEX(OHZ_HAZ_TEUID,140,1)&lt;&gt;"",TRUE)</f>
        <v>1</v>
      </c>
      <c r="K647" t="str">
        <f t="shared" si="21"/>
        <v>Row 140 - If ‘TEU type’ is ‘TEU’ then ‘TEU Id’ is required</v>
      </c>
      <c r="L647" t="s">
        <v>1391</v>
      </c>
    </row>
    <row r="648" spans="7:12" x14ac:dyDescent="0.25">
      <c r="G648" t="b">
        <f>IF(OR(INDEX(IHZ_HAZ_UNITTYPE,141,1)="TEU",),INDEX(IHZ_HAZ_TEUID,141,1)&lt;&gt;"",TRUE)</f>
        <v>1</v>
      </c>
      <c r="H648" t="str">
        <f t="shared" si="20"/>
        <v>Row 141 - If ‘TEU type’ is ‘TEU’ then ‘TEU Id’ is required</v>
      </c>
      <c r="I648" t="s">
        <v>1391</v>
      </c>
      <c r="J648" t="b">
        <f>IF(OR(INDEX(OHZ_HAZ_UNITTYPE,141,1)="TEU",),INDEX(OHZ_HAZ_TEUID,141,1)&lt;&gt;"",TRUE)</f>
        <v>1</v>
      </c>
      <c r="K648" t="str">
        <f t="shared" si="21"/>
        <v>Row 141 - If ‘TEU type’ is ‘TEU’ then ‘TEU Id’ is required</v>
      </c>
      <c r="L648" t="s">
        <v>1391</v>
      </c>
    </row>
    <row r="649" spans="7:12" x14ac:dyDescent="0.25">
      <c r="G649" t="b">
        <f>IF(OR(INDEX(IHZ_HAZ_UNITTYPE,142,1)="TEU",),INDEX(IHZ_HAZ_TEUID,142,1)&lt;&gt;"",TRUE)</f>
        <v>1</v>
      </c>
      <c r="H649" t="str">
        <f t="shared" si="20"/>
        <v>Row 142 - If ‘TEU type’ is ‘TEU’ then ‘TEU Id’ is required</v>
      </c>
      <c r="I649" t="s">
        <v>1391</v>
      </c>
      <c r="J649" t="b">
        <f>IF(OR(INDEX(OHZ_HAZ_UNITTYPE,142,1)="TEU",),INDEX(OHZ_HAZ_TEUID,142,1)&lt;&gt;"",TRUE)</f>
        <v>1</v>
      </c>
      <c r="K649" t="str">
        <f t="shared" si="21"/>
        <v>Row 142 - If ‘TEU type’ is ‘TEU’ then ‘TEU Id’ is required</v>
      </c>
      <c r="L649" t="s">
        <v>1391</v>
      </c>
    </row>
    <row r="650" spans="7:12" x14ac:dyDescent="0.25">
      <c r="G650" t="b">
        <f>IF(OR(INDEX(IHZ_HAZ_UNITTYPE,143,1)="TEU",),INDEX(IHZ_HAZ_TEUID,143,1)&lt;&gt;"",TRUE)</f>
        <v>1</v>
      </c>
      <c r="H650" t="str">
        <f t="shared" si="20"/>
        <v>Row 143 - If ‘TEU type’ is ‘TEU’ then ‘TEU Id’ is required</v>
      </c>
      <c r="I650" t="s">
        <v>1391</v>
      </c>
      <c r="J650" t="b">
        <f>IF(OR(INDEX(OHZ_HAZ_UNITTYPE,143,1)="TEU",),INDEX(OHZ_HAZ_TEUID,143,1)&lt;&gt;"",TRUE)</f>
        <v>1</v>
      </c>
      <c r="K650" t="str">
        <f t="shared" si="21"/>
        <v>Row 143 - If ‘TEU type’ is ‘TEU’ then ‘TEU Id’ is required</v>
      </c>
      <c r="L650" t="s">
        <v>1391</v>
      </c>
    </row>
    <row r="651" spans="7:12" x14ac:dyDescent="0.25">
      <c r="G651" t="b">
        <f>IF(OR(INDEX(IHZ_HAZ_UNITTYPE,144,1)="TEU",),INDEX(IHZ_HAZ_TEUID,144,1)&lt;&gt;"",TRUE)</f>
        <v>1</v>
      </c>
      <c r="H651" t="str">
        <f t="shared" si="20"/>
        <v>Row 144 - If ‘TEU type’ is ‘TEU’ then ‘TEU Id’ is required</v>
      </c>
      <c r="I651" t="s">
        <v>1391</v>
      </c>
      <c r="J651" t="b">
        <f>IF(OR(INDEX(OHZ_HAZ_UNITTYPE,144,1)="TEU",),INDEX(OHZ_HAZ_TEUID,144,1)&lt;&gt;"",TRUE)</f>
        <v>1</v>
      </c>
      <c r="K651" t="str">
        <f t="shared" si="21"/>
        <v>Row 144 - If ‘TEU type’ is ‘TEU’ then ‘TEU Id’ is required</v>
      </c>
      <c r="L651" t="s">
        <v>1391</v>
      </c>
    </row>
    <row r="652" spans="7:12" x14ac:dyDescent="0.25">
      <c r="G652" t="b">
        <f>IF(OR(INDEX(IHZ_HAZ_UNITTYPE,145,1)="TEU",),INDEX(IHZ_HAZ_TEUID,145,1)&lt;&gt;"",TRUE)</f>
        <v>1</v>
      </c>
      <c r="H652" t="str">
        <f t="shared" si="20"/>
        <v>Row 145 - If ‘TEU type’ is ‘TEU’ then ‘TEU Id’ is required</v>
      </c>
      <c r="I652" t="s">
        <v>1391</v>
      </c>
      <c r="J652" t="b">
        <f>IF(OR(INDEX(OHZ_HAZ_UNITTYPE,145,1)="TEU",),INDEX(OHZ_HAZ_TEUID,145,1)&lt;&gt;"",TRUE)</f>
        <v>1</v>
      </c>
      <c r="K652" t="str">
        <f t="shared" si="21"/>
        <v>Row 145 - If ‘TEU type’ is ‘TEU’ then ‘TEU Id’ is required</v>
      </c>
      <c r="L652" t="s">
        <v>1391</v>
      </c>
    </row>
    <row r="653" spans="7:12" x14ac:dyDescent="0.25">
      <c r="G653" t="b">
        <f>IF(OR(INDEX(IHZ_HAZ_UNITTYPE,146,1)="TEU",),INDEX(IHZ_HAZ_TEUID,146,1)&lt;&gt;"",TRUE)</f>
        <v>1</v>
      </c>
      <c r="H653" t="str">
        <f t="shared" si="20"/>
        <v>Row 146 - If ‘TEU type’ is ‘TEU’ then ‘TEU Id’ is required</v>
      </c>
      <c r="I653" t="s">
        <v>1391</v>
      </c>
      <c r="J653" t="b">
        <f>IF(OR(INDEX(OHZ_HAZ_UNITTYPE,146,1)="TEU",),INDEX(OHZ_HAZ_TEUID,146,1)&lt;&gt;"",TRUE)</f>
        <v>1</v>
      </c>
      <c r="K653" t="str">
        <f t="shared" si="21"/>
        <v>Row 146 - If ‘TEU type’ is ‘TEU’ then ‘TEU Id’ is required</v>
      </c>
      <c r="L653" t="s">
        <v>1391</v>
      </c>
    </row>
    <row r="654" spans="7:12" x14ac:dyDescent="0.25">
      <c r="G654" t="b">
        <f>IF(OR(INDEX(IHZ_HAZ_UNITTYPE,147,1)="TEU",),INDEX(IHZ_HAZ_TEUID,147,1)&lt;&gt;"",TRUE)</f>
        <v>1</v>
      </c>
      <c r="H654" t="str">
        <f t="shared" si="20"/>
        <v>Row 147 - If ‘TEU type’ is ‘TEU’ then ‘TEU Id’ is required</v>
      </c>
      <c r="I654" t="s">
        <v>1391</v>
      </c>
      <c r="J654" t="b">
        <f>IF(OR(INDEX(OHZ_HAZ_UNITTYPE,147,1)="TEU",),INDEX(OHZ_HAZ_TEUID,147,1)&lt;&gt;"",TRUE)</f>
        <v>1</v>
      </c>
      <c r="K654" t="str">
        <f t="shared" si="21"/>
        <v>Row 147 - If ‘TEU type’ is ‘TEU’ then ‘TEU Id’ is required</v>
      </c>
      <c r="L654" t="s">
        <v>1391</v>
      </c>
    </row>
    <row r="655" spans="7:12" x14ac:dyDescent="0.25">
      <c r="G655" t="b">
        <f>IF(OR(INDEX(IHZ_HAZ_UNITTYPE,148,1)="TEU",),INDEX(IHZ_HAZ_TEUID,148,1)&lt;&gt;"",TRUE)</f>
        <v>1</v>
      </c>
      <c r="H655" t="str">
        <f t="shared" si="20"/>
        <v>Row 148 - If ‘TEU type’ is ‘TEU’ then ‘TEU Id’ is required</v>
      </c>
      <c r="I655" t="s">
        <v>1391</v>
      </c>
      <c r="J655" t="b">
        <f>IF(OR(INDEX(OHZ_HAZ_UNITTYPE,148,1)="TEU",),INDEX(OHZ_HAZ_TEUID,148,1)&lt;&gt;"",TRUE)</f>
        <v>1</v>
      </c>
      <c r="K655" t="str">
        <f t="shared" si="21"/>
        <v>Row 148 - If ‘TEU type’ is ‘TEU’ then ‘TEU Id’ is required</v>
      </c>
      <c r="L655" t="s">
        <v>1391</v>
      </c>
    </row>
    <row r="656" spans="7:12" x14ac:dyDescent="0.25">
      <c r="G656" t="b">
        <f>IF(OR(INDEX(IHZ_HAZ_UNITTYPE,149,1)="TEU",),INDEX(IHZ_HAZ_TEUID,149,1)&lt;&gt;"",TRUE)</f>
        <v>1</v>
      </c>
      <c r="H656" t="str">
        <f t="shared" si="20"/>
        <v>Row 149 - If ‘TEU type’ is ‘TEU’ then ‘TEU Id’ is required</v>
      </c>
      <c r="I656" t="s">
        <v>1391</v>
      </c>
      <c r="J656" t="b">
        <f>IF(OR(INDEX(OHZ_HAZ_UNITTYPE,149,1)="TEU",),INDEX(OHZ_HAZ_TEUID,149,1)&lt;&gt;"",TRUE)</f>
        <v>1</v>
      </c>
      <c r="K656" t="str">
        <f t="shared" si="21"/>
        <v>Row 149 - If ‘TEU type’ is ‘TEU’ then ‘TEU Id’ is required</v>
      </c>
      <c r="L656" t="s">
        <v>1391</v>
      </c>
    </row>
    <row r="657" spans="7:12" x14ac:dyDescent="0.25">
      <c r="G657" t="b">
        <f>IF(OR(INDEX(IHZ_HAZ_UNITTYPE,150,1)="TEU",),INDEX(IHZ_HAZ_TEUID,150,1)&lt;&gt;"",TRUE)</f>
        <v>1</v>
      </c>
      <c r="H657" t="str">
        <f t="shared" si="20"/>
        <v>Row 150 - If ‘TEU type’ is ‘TEU’ then ‘TEU Id’ is required</v>
      </c>
      <c r="I657" t="s">
        <v>1391</v>
      </c>
      <c r="J657" t="b">
        <f>IF(OR(INDEX(OHZ_HAZ_UNITTYPE,150,1)="TEU",),INDEX(OHZ_HAZ_TEUID,150,1)&lt;&gt;"",TRUE)</f>
        <v>1</v>
      </c>
      <c r="K657" t="str">
        <f t="shared" si="21"/>
        <v>Row 150 - If ‘TEU type’ is ‘TEU’ then ‘TEU Id’ is required</v>
      </c>
      <c r="L657" t="s">
        <v>1391</v>
      </c>
    </row>
    <row r="658" spans="7:12" x14ac:dyDescent="0.25">
      <c r="G658" t="b">
        <f>IF(OR(INDEX(IHZ_HAZ_UNITTYPE,151,1)="TEU",),INDEX(IHZ_HAZ_TEUID,151,1)&lt;&gt;"",TRUE)</f>
        <v>1</v>
      </c>
      <c r="H658" t="str">
        <f t="shared" si="20"/>
        <v>Row 151 - If ‘TEU type’ is ‘TEU’ then ‘TEU Id’ is required</v>
      </c>
      <c r="I658" t="s">
        <v>1391</v>
      </c>
      <c r="J658" t="b">
        <f>IF(OR(INDEX(OHZ_HAZ_UNITTYPE,151,1)="TEU",),INDEX(OHZ_HAZ_TEUID,151,1)&lt;&gt;"",TRUE)</f>
        <v>1</v>
      </c>
      <c r="K658" t="str">
        <f t="shared" si="21"/>
        <v>Row 151 - If ‘TEU type’ is ‘TEU’ then ‘TEU Id’ is required</v>
      </c>
      <c r="L658" t="s">
        <v>1391</v>
      </c>
    </row>
    <row r="659" spans="7:12" x14ac:dyDescent="0.25">
      <c r="G659" t="b">
        <f>IF(OR(INDEX(IHZ_HAZ_UNITTYPE,152,1)="TEU",),INDEX(IHZ_HAZ_TEUID,152,1)&lt;&gt;"",TRUE)</f>
        <v>1</v>
      </c>
      <c r="H659" t="str">
        <f t="shared" si="20"/>
        <v>Row 152 - If ‘TEU type’ is ‘TEU’ then ‘TEU Id’ is required</v>
      </c>
      <c r="I659" t="s">
        <v>1391</v>
      </c>
      <c r="J659" t="b">
        <f>IF(OR(INDEX(OHZ_HAZ_UNITTYPE,152,1)="TEU",),INDEX(OHZ_HAZ_TEUID,152,1)&lt;&gt;"",TRUE)</f>
        <v>1</v>
      </c>
      <c r="K659" t="str">
        <f t="shared" si="21"/>
        <v>Row 152 - If ‘TEU type’ is ‘TEU’ then ‘TEU Id’ is required</v>
      </c>
      <c r="L659" t="s">
        <v>1391</v>
      </c>
    </row>
    <row r="660" spans="7:12" x14ac:dyDescent="0.25">
      <c r="G660" t="b">
        <f>IF(OR(INDEX(IHZ_HAZ_UNITTYPE,153,1)="TEU",),INDEX(IHZ_HAZ_TEUID,153,1)&lt;&gt;"",TRUE)</f>
        <v>1</v>
      </c>
      <c r="H660" t="str">
        <f t="shared" si="20"/>
        <v>Row 153 - If ‘TEU type’ is ‘TEU’ then ‘TEU Id’ is required</v>
      </c>
      <c r="I660" t="s">
        <v>1391</v>
      </c>
      <c r="J660" t="b">
        <f>IF(OR(INDEX(OHZ_HAZ_UNITTYPE,153,1)="TEU",),INDEX(OHZ_HAZ_TEUID,153,1)&lt;&gt;"",TRUE)</f>
        <v>1</v>
      </c>
      <c r="K660" t="str">
        <f t="shared" si="21"/>
        <v>Row 153 - If ‘TEU type’ is ‘TEU’ then ‘TEU Id’ is required</v>
      </c>
      <c r="L660" t="s">
        <v>1391</v>
      </c>
    </row>
    <row r="661" spans="7:12" x14ac:dyDescent="0.25">
      <c r="G661" t="b">
        <f>IF(OR(INDEX(IHZ_HAZ_UNITTYPE,154,1)="TEU",),INDEX(IHZ_HAZ_TEUID,154,1)&lt;&gt;"",TRUE)</f>
        <v>1</v>
      </c>
      <c r="H661" t="str">
        <f t="shared" si="20"/>
        <v>Row 154 - If ‘TEU type’ is ‘TEU’ then ‘TEU Id’ is required</v>
      </c>
      <c r="I661" t="s">
        <v>1391</v>
      </c>
      <c r="J661" t="b">
        <f>IF(OR(INDEX(OHZ_HAZ_UNITTYPE,154,1)="TEU",),INDEX(OHZ_HAZ_TEUID,154,1)&lt;&gt;"",TRUE)</f>
        <v>1</v>
      </c>
      <c r="K661" t="str">
        <f t="shared" si="21"/>
        <v>Row 154 - If ‘TEU type’ is ‘TEU’ then ‘TEU Id’ is required</v>
      </c>
      <c r="L661" t="s">
        <v>1391</v>
      </c>
    </row>
    <row r="662" spans="7:12" x14ac:dyDescent="0.25">
      <c r="G662" t="b">
        <f>IF(OR(INDEX(IHZ_HAZ_UNITTYPE,155,1)="TEU",),INDEX(IHZ_HAZ_TEUID,155,1)&lt;&gt;"",TRUE)</f>
        <v>1</v>
      </c>
      <c r="H662" t="str">
        <f t="shared" si="20"/>
        <v>Row 155 - If ‘TEU type’ is ‘TEU’ then ‘TEU Id’ is required</v>
      </c>
      <c r="I662" t="s">
        <v>1391</v>
      </c>
      <c r="J662" t="b">
        <f>IF(OR(INDEX(OHZ_HAZ_UNITTYPE,155,1)="TEU",),INDEX(OHZ_HAZ_TEUID,155,1)&lt;&gt;"",TRUE)</f>
        <v>1</v>
      </c>
      <c r="K662" t="str">
        <f t="shared" si="21"/>
        <v>Row 155 - If ‘TEU type’ is ‘TEU’ then ‘TEU Id’ is required</v>
      </c>
      <c r="L662" t="s">
        <v>1391</v>
      </c>
    </row>
    <row r="663" spans="7:12" x14ac:dyDescent="0.25">
      <c r="G663" t="b">
        <f>IF(OR(INDEX(IHZ_HAZ_UNITTYPE,156,1)="TEU",),INDEX(IHZ_HAZ_TEUID,156,1)&lt;&gt;"",TRUE)</f>
        <v>1</v>
      </c>
      <c r="H663" t="str">
        <f t="shared" si="20"/>
        <v>Row 156 - If ‘TEU type’ is ‘TEU’ then ‘TEU Id’ is required</v>
      </c>
      <c r="I663" t="s">
        <v>1391</v>
      </c>
      <c r="J663" t="b">
        <f>IF(OR(INDEX(OHZ_HAZ_UNITTYPE,156,1)="TEU",),INDEX(OHZ_HAZ_TEUID,156,1)&lt;&gt;"",TRUE)</f>
        <v>1</v>
      </c>
      <c r="K663" t="str">
        <f t="shared" si="21"/>
        <v>Row 156 - If ‘TEU type’ is ‘TEU’ then ‘TEU Id’ is required</v>
      </c>
      <c r="L663" t="s">
        <v>1391</v>
      </c>
    </row>
    <row r="664" spans="7:12" x14ac:dyDescent="0.25">
      <c r="G664" t="b">
        <f>IF(OR(INDEX(IHZ_HAZ_UNITTYPE,157,1)="TEU",),INDEX(IHZ_HAZ_TEUID,157,1)&lt;&gt;"",TRUE)</f>
        <v>1</v>
      </c>
      <c r="H664" t="str">
        <f t="shared" si="20"/>
        <v>Row 157 - If ‘TEU type’ is ‘TEU’ then ‘TEU Id’ is required</v>
      </c>
      <c r="I664" t="s">
        <v>1391</v>
      </c>
      <c r="J664" t="b">
        <f>IF(OR(INDEX(OHZ_HAZ_UNITTYPE,157,1)="TEU",),INDEX(OHZ_HAZ_TEUID,157,1)&lt;&gt;"",TRUE)</f>
        <v>1</v>
      </c>
      <c r="K664" t="str">
        <f t="shared" si="21"/>
        <v>Row 157 - If ‘TEU type’ is ‘TEU’ then ‘TEU Id’ is required</v>
      </c>
      <c r="L664" t="s">
        <v>1391</v>
      </c>
    </row>
    <row r="665" spans="7:12" x14ac:dyDescent="0.25">
      <c r="G665" t="b">
        <f>IF(OR(INDEX(IHZ_HAZ_UNITTYPE,158,1)="TEU",),INDEX(IHZ_HAZ_TEUID,158,1)&lt;&gt;"",TRUE)</f>
        <v>1</v>
      </c>
      <c r="H665" t="str">
        <f t="shared" si="20"/>
        <v>Row 158 - If ‘TEU type’ is ‘TEU’ then ‘TEU Id’ is required</v>
      </c>
      <c r="I665" t="s">
        <v>1391</v>
      </c>
      <c r="J665" t="b">
        <f>IF(OR(INDEX(OHZ_HAZ_UNITTYPE,158,1)="TEU",),INDEX(OHZ_HAZ_TEUID,158,1)&lt;&gt;"",TRUE)</f>
        <v>1</v>
      </c>
      <c r="K665" t="str">
        <f t="shared" si="21"/>
        <v>Row 158 - If ‘TEU type’ is ‘TEU’ then ‘TEU Id’ is required</v>
      </c>
      <c r="L665" t="s">
        <v>1391</v>
      </c>
    </row>
    <row r="666" spans="7:12" x14ac:dyDescent="0.25">
      <c r="G666" t="b">
        <f>IF(OR(INDEX(IHZ_HAZ_UNITTYPE,159,1)="TEU",),INDEX(IHZ_HAZ_TEUID,159,1)&lt;&gt;"",TRUE)</f>
        <v>1</v>
      </c>
      <c r="H666" t="str">
        <f t="shared" si="20"/>
        <v>Row 159 - If ‘TEU type’ is ‘TEU’ then ‘TEU Id’ is required</v>
      </c>
      <c r="I666" t="s">
        <v>1391</v>
      </c>
      <c r="J666" t="b">
        <f>IF(OR(INDEX(OHZ_HAZ_UNITTYPE,159,1)="TEU",),INDEX(OHZ_HAZ_TEUID,159,1)&lt;&gt;"",TRUE)</f>
        <v>1</v>
      </c>
      <c r="K666" t="str">
        <f t="shared" si="21"/>
        <v>Row 159 - If ‘TEU type’ is ‘TEU’ then ‘TEU Id’ is required</v>
      </c>
      <c r="L666" t="s">
        <v>1391</v>
      </c>
    </row>
    <row r="667" spans="7:12" x14ac:dyDescent="0.25">
      <c r="G667" t="b">
        <f>IF(OR(INDEX(IHZ_HAZ_UNITTYPE,160,1)="TEU",),INDEX(IHZ_HAZ_TEUID,160,1)&lt;&gt;"",TRUE)</f>
        <v>1</v>
      </c>
      <c r="H667" t="str">
        <f t="shared" si="20"/>
        <v>Row 160 - If ‘TEU type’ is ‘TEU’ then ‘TEU Id’ is required</v>
      </c>
      <c r="I667" t="s">
        <v>1391</v>
      </c>
      <c r="J667" t="b">
        <f>IF(OR(INDEX(OHZ_HAZ_UNITTYPE,160,1)="TEU",),INDEX(OHZ_HAZ_TEUID,160,1)&lt;&gt;"",TRUE)</f>
        <v>1</v>
      </c>
      <c r="K667" t="str">
        <f t="shared" si="21"/>
        <v>Row 160 - If ‘TEU type’ is ‘TEU’ then ‘TEU Id’ is required</v>
      </c>
      <c r="L667" t="s">
        <v>1391</v>
      </c>
    </row>
    <row r="668" spans="7:12" x14ac:dyDescent="0.25">
      <c r="G668" t="b">
        <f>IF(OR(INDEX(IHZ_HAZ_UNITTYPE,161,1)="TEU",),INDEX(IHZ_HAZ_TEUID,161,1)&lt;&gt;"",TRUE)</f>
        <v>1</v>
      </c>
      <c r="H668" t="str">
        <f t="shared" si="20"/>
        <v>Row 161 - If ‘TEU type’ is ‘TEU’ then ‘TEU Id’ is required</v>
      </c>
      <c r="I668" t="s">
        <v>1391</v>
      </c>
      <c r="J668" t="b">
        <f>IF(OR(INDEX(OHZ_HAZ_UNITTYPE,161,1)="TEU",),INDEX(OHZ_HAZ_TEUID,161,1)&lt;&gt;"",TRUE)</f>
        <v>1</v>
      </c>
      <c r="K668" t="str">
        <f t="shared" si="21"/>
        <v>Row 161 - If ‘TEU type’ is ‘TEU’ then ‘TEU Id’ is required</v>
      </c>
      <c r="L668" t="s">
        <v>1391</v>
      </c>
    </row>
    <row r="669" spans="7:12" x14ac:dyDescent="0.25">
      <c r="G669" t="b">
        <f>IF(OR(INDEX(IHZ_HAZ_UNITTYPE,162,1)="TEU",),INDEX(IHZ_HAZ_TEUID,162,1)&lt;&gt;"",TRUE)</f>
        <v>1</v>
      </c>
      <c r="H669" t="str">
        <f t="shared" si="20"/>
        <v>Row 162 - If ‘TEU type’ is ‘TEU’ then ‘TEU Id’ is required</v>
      </c>
      <c r="I669" t="s">
        <v>1391</v>
      </c>
      <c r="J669" t="b">
        <f>IF(OR(INDEX(OHZ_HAZ_UNITTYPE,162,1)="TEU",),INDEX(OHZ_HAZ_TEUID,162,1)&lt;&gt;"",TRUE)</f>
        <v>1</v>
      </c>
      <c r="K669" t="str">
        <f t="shared" si="21"/>
        <v>Row 162 - If ‘TEU type’ is ‘TEU’ then ‘TEU Id’ is required</v>
      </c>
      <c r="L669" t="s">
        <v>1391</v>
      </c>
    </row>
    <row r="670" spans="7:12" x14ac:dyDescent="0.25">
      <c r="G670" t="b">
        <f>IF(OR(INDEX(IHZ_HAZ_UNITTYPE,163,1)="TEU",),INDEX(IHZ_HAZ_TEUID,163,1)&lt;&gt;"",TRUE)</f>
        <v>1</v>
      </c>
      <c r="H670" t="str">
        <f t="shared" si="20"/>
        <v>Row 163 - If ‘TEU type’ is ‘TEU’ then ‘TEU Id’ is required</v>
      </c>
      <c r="I670" t="s">
        <v>1391</v>
      </c>
      <c r="J670" t="b">
        <f>IF(OR(INDEX(OHZ_HAZ_UNITTYPE,163,1)="TEU",),INDEX(OHZ_HAZ_TEUID,163,1)&lt;&gt;"",TRUE)</f>
        <v>1</v>
      </c>
      <c r="K670" t="str">
        <f t="shared" si="21"/>
        <v>Row 163 - If ‘TEU type’ is ‘TEU’ then ‘TEU Id’ is required</v>
      </c>
      <c r="L670" t="s">
        <v>1391</v>
      </c>
    </row>
    <row r="671" spans="7:12" x14ac:dyDescent="0.25">
      <c r="G671" t="b">
        <f>IF(OR(INDEX(IHZ_HAZ_UNITTYPE,164,1)="TEU",),INDEX(IHZ_HAZ_TEUID,164,1)&lt;&gt;"",TRUE)</f>
        <v>1</v>
      </c>
      <c r="H671" t="str">
        <f t="shared" si="20"/>
        <v>Row 164 - If ‘TEU type’ is ‘TEU’ then ‘TEU Id’ is required</v>
      </c>
      <c r="I671" t="s">
        <v>1391</v>
      </c>
      <c r="J671" t="b">
        <f>IF(OR(INDEX(OHZ_HAZ_UNITTYPE,164,1)="TEU",),INDEX(OHZ_HAZ_TEUID,164,1)&lt;&gt;"",TRUE)</f>
        <v>1</v>
      </c>
      <c r="K671" t="str">
        <f t="shared" si="21"/>
        <v>Row 164 - If ‘TEU type’ is ‘TEU’ then ‘TEU Id’ is required</v>
      </c>
      <c r="L671" t="s">
        <v>1391</v>
      </c>
    </row>
    <row r="672" spans="7:12" x14ac:dyDescent="0.25">
      <c r="G672" t="b">
        <f>IF(OR(INDEX(IHZ_HAZ_UNITTYPE,165,1)="TEU",),INDEX(IHZ_HAZ_TEUID,165,1)&lt;&gt;"",TRUE)</f>
        <v>1</v>
      </c>
      <c r="H672" t="str">
        <f t="shared" si="20"/>
        <v>Row 165 - If ‘TEU type’ is ‘TEU’ then ‘TEU Id’ is required</v>
      </c>
      <c r="I672" t="s">
        <v>1391</v>
      </c>
      <c r="J672" t="b">
        <f>IF(OR(INDEX(OHZ_HAZ_UNITTYPE,165,1)="TEU",),INDEX(OHZ_HAZ_TEUID,165,1)&lt;&gt;"",TRUE)</f>
        <v>1</v>
      </c>
      <c r="K672" t="str">
        <f t="shared" si="21"/>
        <v>Row 165 - If ‘TEU type’ is ‘TEU’ then ‘TEU Id’ is required</v>
      </c>
      <c r="L672" t="s">
        <v>1391</v>
      </c>
    </row>
    <row r="673" spans="7:12" x14ac:dyDescent="0.25">
      <c r="G673" t="b">
        <f>IF(OR(INDEX(IHZ_HAZ_UNITTYPE,166,1)="TEU",),INDEX(IHZ_HAZ_TEUID,166,1)&lt;&gt;"",TRUE)</f>
        <v>1</v>
      </c>
      <c r="H673" t="str">
        <f t="shared" si="20"/>
        <v>Row 166 - If ‘TEU type’ is ‘TEU’ then ‘TEU Id’ is required</v>
      </c>
      <c r="I673" t="s">
        <v>1391</v>
      </c>
      <c r="J673" t="b">
        <f>IF(OR(INDEX(OHZ_HAZ_UNITTYPE,166,1)="TEU",),INDEX(OHZ_HAZ_TEUID,166,1)&lt;&gt;"",TRUE)</f>
        <v>1</v>
      </c>
      <c r="K673" t="str">
        <f t="shared" si="21"/>
        <v>Row 166 - If ‘TEU type’ is ‘TEU’ then ‘TEU Id’ is required</v>
      </c>
      <c r="L673" t="s">
        <v>1391</v>
      </c>
    </row>
    <row r="674" spans="7:12" x14ac:dyDescent="0.25">
      <c r="G674" t="b">
        <f>IF(OR(INDEX(IHZ_HAZ_UNITTYPE,167,1)="TEU",),INDEX(IHZ_HAZ_TEUID,167,1)&lt;&gt;"",TRUE)</f>
        <v>1</v>
      </c>
      <c r="H674" t="str">
        <f t="shared" si="20"/>
        <v>Row 167 - If ‘TEU type’ is ‘TEU’ then ‘TEU Id’ is required</v>
      </c>
      <c r="I674" t="s">
        <v>1391</v>
      </c>
      <c r="J674" t="b">
        <f>IF(OR(INDEX(OHZ_HAZ_UNITTYPE,167,1)="TEU",),INDEX(OHZ_HAZ_TEUID,167,1)&lt;&gt;"",TRUE)</f>
        <v>1</v>
      </c>
      <c r="K674" t="str">
        <f t="shared" si="21"/>
        <v>Row 167 - If ‘TEU type’ is ‘TEU’ then ‘TEU Id’ is required</v>
      </c>
      <c r="L674" t="s">
        <v>1391</v>
      </c>
    </row>
    <row r="675" spans="7:12" x14ac:dyDescent="0.25">
      <c r="G675" t="b">
        <f>IF(OR(INDEX(IHZ_HAZ_UNITTYPE,168,1)="TEU",),INDEX(IHZ_HAZ_TEUID,168,1)&lt;&gt;"",TRUE)</f>
        <v>1</v>
      </c>
      <c r="H675" t="str">
        <f t="shared" si="20"/>
        <v>Row 168 - If ‘TEU type’ is ‘TEU’ then ‘TEU Id’ is required</v>
      </c>
      <c r="I675" t="s">
        <v>1391</v>
      </c>
      <c r="J675" t="b">
        <f>IF(OR(INDEX(OHZ_HAZ_UNITTYPE,168,1)="TEU",),INDEX(OHZ_HAZ_TEUID,168,1)&lt;&gt;"",TRUE)</f>
        <v>1</v>
      </c>
      <c r="K675" t="str">
        <f t="shared" si="21"/>
        <v>Row 168 - If ‘TEU type’ is ‘TEU’ then ‘TEU Id’ is required</v>
      </c>
      <c r="L675" t="s">
        <v>1391</v>
      </c>
    </row>
    <row r="676" spans="7:12" x14ac:dyDescent="0.25">
      <c r="G676" t="b">
        <f>IF(OR(INDEX(IHZ_HAZ_UNITTYPE,169,1)="TEU",),INDEX(IHZ_HAZ_TEUID,169,1)&lt;&gt;"",TRUE)</f>
        <v>1</v>
      </c>
      <c r="H676" t="str">
        <f t="shared" si="20"/>
        <v>Row 169 - If ‘TEU type’ is ‘TEU’ then ‘TEU Id’ is required</v>
      </c>
      <c r="I676" t="s">
        <v>1391</v>
      </c>
      <c r="J676" t="b">
        <f>IF(OR(INDEX(OHZ_HAZ_UNITTYPE,169,1)="TEU",),INDEX(OHZ_HAZ_TEUID,169,1)&lt;&gt;"",TRUE)</f>
        <v>1</v>
      </c>
      <c r="K676" t="str">
        <f t="shared" si="21"/>
        <v>Row 169 - If ‘TEU type’ is ‘TEU’ then ‘TEU Id’ is required</v>
      </c>
      <c r="L676" t="s">
        <v>1391</v>
      </c>
    </row>
    <row r="677" spans="7:12" x14ac:dyDescent="0.25">
      <c r="G677" t="b">
        <f>IF(OR(INDEX(IHZ_HAZ_UNITTYPE,170,1)="TEU",),INDEX(IHZ_HAZ_TEUID,170,1)&lt;&gt;"",TRUE)</f>
        <v>1</v>
      </c>
      <c r="H677" t="str">
        <f t="shared" si="20"/>
        <v>Row 170 - If ‘TEU type’ is ‘TEU’ then ‘TEU Id’ is required</v>
      </c>
      <c r="I677" t="s">
        <v>1391</v>
      </c>
      <c r="J677" t="b">
        <f>IF(OR(INDEX(OHZ_HAZ_UNITTYPE,170,1)="TEU",),INDEX(OHZ_HAZ_TEUID,170,1)&lt;&gt;"",TRUE)</f>
        <v>1</v>
      </c>
      <c r="K677" t="str">
        <f t="shared" si="21"/>
        <v>Row 170 - If ‘TEU type’ is ‘TEU’ then ‘TEU Id’ is required</v>
      </c>
      <c r="L677" t="s">
        <v>1391</v>
      </c>
    </row>
    <row r="678" spans="7:12" x14ac:dyDescent="0.25">
      <c r="G678" t="b">
        <f>IF(OR(INDEX(IHZ_HAZ_UNITTYPE,171,1)="TEU",),INDEX(IHZ_HAZ_TEUID,171,1)&lt;&gt;"",TRUE)</f>
        <v>1</v>
      </c>
      <c r="H678" t="str">
        <f t="shared" si="20"/>
        <v>Row 171 - If ‘TEU type’ is ‘TEU’ then ‘TEU Id’ is required</v>
      </c>
      <c r="I678" t="s">
        <v>1391</v>
      </c>
      <c r="J678" t="b">
        <f>IF(OR(INDEX(OHZ_HAZ_UNITTYPE,171,1)="TEU",),INDEX(OHZ_HAZ_TEUID,171,1)&lt;&gt;"",TRUE)</f>
        <v>1</v>
      </c>
      <c r="K678" t="str">
        <f t="shared" si="21"/>
        <v>Row 171 - If ‘TEU type’ is ‘TEU’ then ‘TEU Id’ is required</v>
      </c>
      <c r="L678" t="s">
        <v>1391</v>
      </c>
    </row>
    <row r="679" spans="7:12" x14ac:dyDescent="0.25">
      <c r="G679" t="b">
        <f>IF(OR(INDEX(IHZ_HAZ_UNITTYPE,172,1)="TEU",),INDEX(IHZ_HAZ_TEUID,172,1)&lt;&gt;"",TRUE)</f>
        <v>1</v>
      </c>
      <c r="H679" t="str">
        <f t="shared" si="20"/>
        <v>Row 172 - If ‘TEU type’ is ‘TEU’ then ‘TEU Id’ is required</v>
      </c>
      <c r="I679" t="s">
        <v>1391</v>
      </c>
      <c r="J679" t="b">
        <f>IF(OR(INDEX(OHZ_HAZ_UNITTYPE,172,1)="TEU",),INDEX(OHZ_HAZ_TEUID,172,1)&lt;&gt;"",TRUE)</f>
        <v>1</v>
      </c>
      <c r="K679" t="str">
        <f t="shared" si="21"/>
        <v>Row 172 - If ‘TEU type’ is ‘TEU’ then ‘TEU Id’ is required</v>
      </c>
      <c r="L679" t="s">
        <v>1391</v>
      </c>
    </row>
    <row r="680" spans="7:12" x14ac:dyDescent="0.25">
      <c r="G680" t="b">
        <f>IF(OR(INDEX(IHZ_HAZ_UNITTYPE,173,1)="TEU",),INDEX(IHZ_HAZ_TEUID,173,1)&lt;&gt;"",TRUE)</f>
        <v>1</v>
      </c>
      <c r="H680" t="str">
        <f t="shared" si="20"/>
        <v>Row 173 - If ‘TEU type’ is ‘TEU’ then ‘TEU Id’ is required</v>
      </c>
      <c r="I680" t="s">
        <v>1391</v>
      </c>
      <c r="J680" t="b">
        <f>IF(OR(INDEX(OHZ_HAZ_UNITTYPE,173,1)="TEU",),INDEX(OHZ_HAZ_TEUID,173,1)&lt;&gt;"",TRUE)</f>
        <v>1</v>
      </c>
      <c r="K680" t="str">
        <f t="shared" si="21"/>
        <v>Row 173 - If ‘TEU type’ is ‘TEU’ then ‘TEU Id’ is required</v>
      </c>
      <c r="L680" t="s">
        <v>1391</v>
      </c>
    </row>
    <row r="681" spans="7:12" x14ac:dyDescent="0.25">
      <c r="G681" t="b">
        <f>IF(OR(INDEX(IHZ_HAZ_UNITTYPE,174,1)="TEU",),INDEX(IHZ_HAZ_TEUID,174,1)&lt;&gt;"",TRUE)</f>
        <v>1</v>
      </c>
      <c r="H681" t="str">
        <f t="shared" si="20"/>
        <v>Row 174 - If ‘TEU type’ is ‘TEU’ then ‘TEU Id’ is required</v>
      </c>
      <c r="I681" t="s">
        <v>1391</v>
      </c>
      <c r="J681" t="b">
        <f>IF(OR(INDEX(OHZ_HAZ_UNITTYPE,174,1)="TEU",),INDEX(OHZ_HAZ_TEUID,174,1)&lt;&gt;"",TRUE)</f>
        <v>1</v>
      </c>
      <c r="K681" t="str">
        <f t="shared" si="21"/>
        <v>Row 174 - If ‘TEU type’ is ‘TEU’ then ‘TEU Id’ is required</v>
      </c>
      <c r="L681" t="s">
        <v>1391</v>
      </c>
    </row>
    <row r="682" spans="7:12" x14ac:dyDescent="0.25">
      <c r="G682" t="b">
        <f>IF(OR(INDEX(IHZ_HAZ_UNITTYPE,175,1)="TEU",),INDEX(IHZ_HAZ_TEUID,175,1)&lt;&gt;"",TRUE)</f>
        <v>1</v>
      </c>
      <c r="H682" t="str">
        <f t="shared" si="20"/>
        <v>Row 175 - If ‘TEU type’ is ‘TEU’ then ‘TEU Id’ is required</v>
      </c>
      <c r="I682" t="s">
        <v>1391</v>
      </c>
      <c r="J682" t="b">
        <f>IF(OR(INDEX(OHZ_HAZ_UNITTYPE,175,1)="TEU",),INDEX(OHZ_HAZ_TEUID,175,1)&lt;&gt;"",TRUE)</f>
        <v>1</v>
      </c>
      <c r="K682" t="str">
        <f t="shared" si="21"/>
        <v>Row 175 - If ‘TEU type’ is ‘TEU’ then ‘TEU Id’ is required</v>
      </c>
      <c r="L682" t="s">
        <v>1391</v>
      </c>
    </row>
    <row r="683" spans="7:12" x14ac:dyDescent="0.25">
      <c r="G683" t="b">
        <f>IF(OR(INDEX(IHZ_HAZ_UNITTYPE,176,1)="TEU",),INDEX(IHZ_HAZ_TEUID,176,1)&lt;&gt;"",TRUE)</f>
        <v>1</v>
      </c>
      <c r="H683" t="str">
        <f t="shared" si="20"/>
        <v>Row 176 - If ‘TEU type’ is ‘TEU’ then ‘TEU Id’ is required</v>
      </c>
      <c r="I683" t="s">
        <v>1391</v>
      </c>
      <c r="J683" t="b">
        <f>IF(OR(INDEX(OHZ_HAZ_UNITTYPE,176,1)="TEU",),INDEX(OHZ_HAZ_TEUID,176,1)&lt;&gt;"",TRUE)</f>
        <v>1</v>
      </c>
      <c r="K683" t="str">
        <f t="shared" si="21"/>
        <v>Row 176 - If ‘TEU type’ is ‘TEU’ then ‘TEU Id’ is required</v>
      </c>
      <c r="L683" t="s">
        <v>1391</v>
      </c>
    </row>
    <row r="684" spans="7:12" x14ac:dyDescent="0.25">
      <c r="G684" t="b">
        <f>IF(OR(INDEX(IHZ_HAZ_UNITTYPE,177,1)="TEU",),INDEX(IHZ_HAZ_TEUID,177,1)&lt;&gt;"",TRUE)</f>
        <v>1</v>
      </c>
      <c r="H684" t="str">
        <f t="shared" si="20"/>
        <v>Row 177 - If ‘TEU type’ is ‘TEU’ then ‘TEU Id’ is required</v>
      </c>
      <c r="I684" t="s">
        <v>1391</v>
      </c>
      <c r="J684" t="b">
        <f>IF(OR(INDEX(OHZ_HAZ_UNITTYPE,177,1)="TEU",),INDEX(OHZ_HAZ_TEUID,177,1)&lt;&gt;"",TRUE)</f>
        <v>1</v>
      </c>
      <c r="K684" t="str">
        <f t="shared" si="21"/>
        <v>Row 177 - If ‘TEU type’ is ‘TEU’ then ‘TEU Id’ is required</v>
      </c>
      <c r="L684" t="s">
        <v>1391</v>
      </c>
    </row>
    <row r="685" spans="7:12" x14ac:dyDescent="0.25">
      <c r="G685" t="b">
        <f>IF(OR(INDEX(IHZ_HAZ_UNITTYPE,178,1)="TEU",),INDEX(IHZ_HAZ_TEUID,178,1)&lt;&gt;"",TRUE)</f>
        <v>1</v>
      </c>
      <c r="H685" t="str">
        <f t="shared" si="20"/>
        <v>Row 178 - If ‘TEU type’ is ‘TEU’ then ‘TEU Id’ is required</v>
      </c>
      <c r="I685" t="s">
        <v>1391</v>
      </c>
      <c r="J685" t="b">
        <f>IF(OR(INDEX(OHZ_HAZ_UNITTYPE,178,1)="TEU",),INDEX(OHZ_HAZ_TEUID,178,1)&lt;&gt;"",TRUE)</f>
        <v>1</v>
      </c>
      <c r="K685" t="str">
        <f t="shared" si="21"/>
        <v>Row 178 - If ‘TEU type’ is ‘TEU’ then ‘TEU Id’ is required</v>
      </c>
      <c r="L685" t="s">
        <v>1391</v>
      </c>
    </row>
    <row r="686" spans="7:12" x14ac:dyDescent="0.25">
      <c r="G686" t="b">
        <f>IF(OR(INDEX(IHZ_HAZ_UNITTYPE,179,1)="TEU",),INDEX(IHZ_HAZ_TEUID,179,1)&lt;&gt;"",TRUE)</f>
        <v>1</v>
      </c>
      <c r="H686" t="str">
        <f t="shared" si="20"/>
        <v>Row 179 - If ‘TEU type’ is ‘TEU’ then ‘TEU Id’ is required</v>
      </c>
      <c r="I686" t="s">
        <v>1391</v>
      </c>
      <c r="J686" t="b">
        <f>IF(OR(INDEX(OHZ_HAZ_UNITTYPE,179,1)="TEU",),INDEX(OHZ_HAZ_TEUID,179,1)&lt;&gt;"",TRUE)</f>
        <v>1</v>
      </c>
      <c r="K686" t="str">
        <f t="shared" si="21"/>
        <v>Row 179 - If ‘TEU type’ is ‘TEU’ then ‘TEU Id’ is required</v>
      </c>
      <c r="L686" t="s">
        <v>1391</v>
      </c>
    </row>
    <row r="687" spans="7:12" x14ac:dyDescent="0.25">
      <c r="G687" t="b">
        <f>IF(OR(INDEX(IHZ_HAZ_UNITTYPE,180,1)="TEU",),INDEX(IHZ_HAZ_TEUID,180,1)&lt;&gt;"",TRUE)</f>
        <v>1</v>
      </c>
      <c r="H687" t="str">
        <f t="shared" si="20"/>
        <v>Row 180 - If ‘TEU type’ is ‘TEU’ then ‘TEU Id’ is required</v>
      </c>
      <c r="I687" t="s">
        <v>1391</v>
      </c>
      <c r="J687" t="b">
        <f>IF(OR(INDEX(OHZ_HAZ_UNITTYPE,180,1)="TEU",),INDEX(OHZ_HAZ_TEUID,180,1)&lt;&gt;"",TRUE)</f>
        <v>1</v>
      </c>
      <c r="K687" t="str">
        <f t="shared" si="21"/>
        <v>Row 180 - If ‘TEU type’ is ‘TEU’ then ‘TEU Id’ is required</v>
      </c>
      <c r="L687" t="s">
        <v>1391</v>
      </c>
    </row>
    <row r="688" spans="7:12" x14ac:dyDescent="0.25">
      <c r="G688" t="b">
        <f>IF(OR(INDEX(IHZ_HAZ_UNITTYPE,181,1)="TEU",),INDEX(IHZ_HAZ_TEUID,181,1)&lt;&gt;"",TRUE)</f>
        <v>1</v>
      </c>
      <c r="H688" t="str">
        <f t="shared" si="20"/>
        <v>Row 181 - If ‘TEU type’ is ‘TEU’ then ‘TEU Id’ is required</v>
      </c>
      <c r="I688" t="s">
        <v>1391</v>
      </c>
      <c r="J688" t="b">
        <f>IF(OR(INDEX(OHZ_HAZ_UNITTYPE,181,1)="TEU",),INDEX(OHZ_HAZ_TEUID,181,1)&lt;&gt;"",TRUE)</f>
        <v>1</v>
      </c>
      <c r="K688" t="str">
        <f t="shared" si="21"/>
        <v>Row 181 - If ‘TEU type’ is ‘TEU’ then ‘TEU Id’ is required</v>
      </c>
      <c r="L688" t="s">
        <v>1391</v>
      </c>
    </row>
    <row r="689" spans="7:12" x14ac:dyDescent="0.25">
      <c r="G689" t="b">
        <f>IF(OR(INDEX(IHZ_HAZ_UNITTYPE,182,1)="TEU",),INDEX(IHZ_HAZ_TEUID,182,1)&lt;&gt;"",TRUE)</f>
        <v>1</v>
      </c>
      <c r="H689" t="str">
        <f t="shared" si="20"/>
        <v>Row 182 - If ‘TEU type’ is ‘TEU’ then ‘TEU Id’ is required</v>
      </c>
      <c r="I689" t="s">
        <v>1391</v>
      </c>
      <c r="J689" t="b">
        <f>IF(OR(INDEX(OHZ_HAZ_UNITTYPE,182,1)="TEU",),INDEX(OHZ_HAZ_TEUID,182,1)&lt;&gt;"",TRUE)</f>
        <v>1</v>
      </c>
      <c r="K689" t="str">
        <f t="shared" si="21"/>
        <v>Row 182 - If ‘TEU type’ is ‘TEU’ then ‘TEU Id’ is required</v>
      </c>
      <c r="L689" t="s">
        <v>1391</v>
      </c>
    </row>
    <row r="690" spans="7:12" x14ac:dyDescent="0.25">
      <c r="G690" t="b">
        <f>IF(OR(INDEX(IHZ_HAZ_UNITTYPE,183,1)="TEU",),INDEX(IHZ_HAZ_TEUID,183,1)&lt;&gt;"",TRUE)</f>
        <v>1</v>
      </c>
      <c r="H690" t="str">
        <f t="shared" si="20"/>
        <v>Row 183 - If ‘TEU type’ is ‘TEU’ then ‘TEU Id’ is required</v>
      </c>
      <c r="I690" t="s">
        <v>1391</v>
      </c>
      <c r="J690" t="b">
        <f>IF(OR(INDEX(OHZ_HAZ_UNITTYPE,183,1)="TEU",),INDEX(OHZ_HAZ_TEUID,183,1)&lt;&gt;"",TRUE)</f>
        <v>1</v>
      </c>
      <c r="K690" t="str">
        <f t="shared" si="21"/>
        <v>Row 183 - If ‘TEU type’ is ‘TEU’ then ‘TEU Id’ is required</v>
      </c>
      <c r="L690" t="s">
        <v>1391</v>
      </c>
    </row>
    <row r="691" spans="7:12" x14ac:dyDescent="0.25">
      <c r="G691" t="b">
        <f>IF(OR(INDEX(IHZ_HAZ_UNITTYPE,184,1)="TEU",),INDEX(IHZ_HAZ_TEUID,184,1)&lt;&gt;"",TRUE)</f>
        <v>1</v>
      </c>
      <c r="H691" t="str">
        <f t="shared" si="20"/>
        <v>Row 184 - If ‘TEU type’ is ‘TEU’ then ‘TEU Id’ is required</v>
      </c>
      <c r="I691" t="s">
        <v>1391</v>
      </c>
      <c r="J691" t="b">
        <f>IF(OR(INDEX(OHZ_HAZ_UNITTYPE,184,1)="TEU",),INDEX(OHZ_HAZ_TEUID,184,1)&lt;&gt;"",TRUE)</f>
        <v>1</v>
      </c>
      <c r="K691" t="str">
        <f t="shared" si="21"/>
        <v>Row 184 - If ‘TEU type’ is ‘TEU’ then ‘TEU Id’ is required</v>
      </c>
      <c r="L691" t="s">
        <v>1391</v>
      </c>
    </row>
    <row r="692" spans="7:12" x14ac:dyDescent="0.25">
      <c r="G692" t="b">
        <f>IF(OR(INDEX(IHZ_HAZ_UNITTYPE,185,1)="TEU",),INDEX(IHZ_HAZ_TEUID,185,1)&lt;&gt;"",TRUE)</f>
        <v>1</v>
      </c>
      <c r="H692" t="str">
        <f t="shared" si="20"/>
        <v>Row 185 - If ‘TEU type’ is ‘TEU’ then ‘TEU Id’ is required</v>
      </c>
      <c r="I692" t="s">
        <v>1391</v>
      </c>
      <c r="J692" t="b">
        <f>IF(OR(INDEX(OHZ_HAZ_UNITTYPE,185,1)="TEU",),INDEX(OHZ_HAZ_TEUID,185,1)&lt;&gt;"",TRUE)</f>
        <v>1</v>
      </c>
      <c r="K692" t="str">
        <f t="shared" si="21"/>
        <v>Row 185 - If ‘TEU type’ is ‘TEU’ then ‘TEU Id’ is required</v>
      </c>
      <c r="L692" t="s">
        <v>1391</v>
      </c>
    </row>
    <row r="693" spans="7:12" x14ac:dyDescent="0.25">
      <c r="G693" t="b">
        <f>IF(OR(INDEX(IHZ_HAZ_UNITTYPE,186,1)="TEU",),INDEX(IHZ_HAZ_TEUID,186,1)&lt;&gt;"",TRUE)</f>
        <v>1</v>
      </c>
      <c r="H693" t="str">
        <f t="shared" si="20"/>
        <v>Row 186 - If ‘TEU type’ is ‘TEU’ then ‘TEU Id’ is required</v>
      </c>
      <c r="I693" t="s">
        <v>1391</v>
      </c>
      <c r="J693" t="b">
        <f>IF(OR(INDEX(OHZ_HAZ_UNITTYPE,186,1)="TEU",),INDEX(OHZ_HAZ_TEUID,186,1)&lt;&gt;"",TRUE)</f>
        <v>1</v>
      </c>
      <c r="K693" t="str">
        <f t="shared" si="21"/>
        <v>Row 186 - If ‘TEU type’ is ‘TEU’ then ‘TEU Id’ is required</v>
      </c>
      <c r="L693" t="s">
        <v>1391</v>
      </c>
    </row>
    <row r="694" spans="7:12" x14ac:dyDescent="0.25">
      <c r="G694" t="b">
        <f>IF(OR(INDEX(IHZ_HAZ_UNITTYPE,187,1)="TEU",),INDEX(IHZ_HAZ_TEUID,187,1)&lt;&gt;"",TRUE)</f>
        <v>1</v>
      </c>
      <c r="H694" t="str">
        <f t="shared" si="20"/>
        <v>Row 187 - If ‘TEU type’ is ‘TEU’ then ‘TEU Id’ is required</v>
      </c>
      <c r="I694" t="s">
        <v>1391</v>
      </c>
      <c r="J694" t="b">
        <f>IF(OR(INDEX(OHZ_HAZ_UNITTYPE,187,1)="TEU",),INDEX(OHZ_HAZ_TEUID,187,1)&lt;&gt;"",TRUE)</f>
        <v>1</v>
      </c>
      <c r="K694" t="str">
        <f t="shared" si="21"/>
        <v>Row 187 - If ‘TEU type’ is ‘TEU’ then ‘TEU Id’ is required</v>
      </c>
      <c r="L694" t="s">
        <v>1391</v>
      </c>
    </row>
    <row r="695" spans="7:12" x14ac:dyDescent="0.25">
      <c r="G695" t="b">
        <f>IF(OR(INDEX(IHZ_HAZ_UNITTYPE,188,1)="TEU",),INDEX(IHZ_HAZ_TEUID,188,1)&lt;&gt;"",TRUE)</f>
        <v>1</v>
      </c>
      <c r="H695" t="str">
        <f t="shared" si="20"/>
        <v>Row 188 - If ‘TEU type’ is ‘TEU’ then ‘TEU Id’ is required</v>
      </c>
      <c r="I695" t="s">
        <v>1391</v>
      </c>
      <c r="J695" t="b">
        <f>IF(OR(INDEX(OHZ_HAZ_UNITTYPE,188,1)="TEU",),INDEX(OHZ_HAZ_TEUID,188,1)&lt;&gt;"",TRUE)</f>
        <v>1</v>
      </c>
      <c r="K695" t="str">
        <f t="shared" si="21"/>
        <v>Row 188 - If ‘TEU type’ is ‘TEU’ then ‘TEU Id’ is required</v>
      </c>
      <c r="L695" t="s">
        <v>1391</v>
      </c>
    </row>
    <row r="696" spans="7:12" x14ac:dyDescent="0.25">
      <c r="G696" t="b">
        <f>IF(OR(INDEX(IHZ_HAZ_UNITTYPE,189,1)="TEU",),INDEX(IHZ_HAZ_TEUID,189,1)&lt;&gt;"",TRUE)</f>
        <v>1</v>
      </c>
      <c r="H696" t="str">
        <f t="shared" si="20"/>
        <v>Row 189 - If ‘TEU type’ is ‘TEU’ then ‘TEU Id’ is required</v>
      </c>
      <c r="I696" t="s">
        <v>1391</v>
      </c>
      <c r="J696" t="b">
        <f>IF(OR(INDEX(OHZ_HAZ_UNITTYPE,189,1)="TEU",),INDEX(OHZ_HAZ_TEUID,189,1)&lt;&gt;"",TRUE)</f>
        <v>1</v>
      </c>
      <c r="K696" t="str">
        <f t="shared" si="21"/>
        <v>Row 189 - If ‘TEU type’ is ‘TEU’ then ‘TEU Id’ is required</v>
      </c>
      <c r="L696" t="s">
        <v>1391</v>
      </c>
    </row>
    <row r="697" spans="7:12" x14ac:dyDescent="0.25">
      <c r="G697" t="b">
        <f>IF(OR(INDEX(IHZ_HAZ_UNITTYPE,190,1)="TEU",),INDEX(IHZ_HAZ_TEUID,190,1)&lt;&gt;"",TRUE)</f>
        <v>1</v>
      </c>
      <c r="H697" t="str">
        <f t="shared" si="20"/>
        <v>Row 190 - If ‘TEU type’ is ‘TEU’ then ‘TEU Id’ is required</v>
      </c>
      <c r="I697" t="s">
        <v>1391</v>
      </c>
      <c r="J697" t="b">
        <f>IF(OR(INDEX(OHZ_HAZ_UNITTYPE,190,1)="TEU",),INDEX(OHZ_HAZ_TEUID,190,1)&lt;&gt;"",TRUE)</f>
        <v>1</v>
      </c>
      <c r="K697" t="str">
        <f t="shared" si="21"/>
        <v>Row 190 - If ‘TEU type’ is ‘TEU’ then ‘TEU Id’ is required</v>
      </c>
      <c r="L697" t="s">
        <v>1391</v>
      </c>
    </row>
    <row r="698" spans="7:12" x14ac:dyDescent="0.25">
      <c r="G698" t="b">
        <f>IF(OR(INDEX(IHZ_HAZ_UNITTYPE,191,1)="TEU",),INDEX(IHZ_HAZ_TEUID,191,1)&lt;&gt;"",TRUE)</f>
        <v>1</v>
      </c>
      <c r="H698" t="str">
        <f t="shared" si="20"/>
        <v>Row 191 - If ‘TEU type’ is ‘TEU’ then ‘TEU Id’ is required</v>
      </c>
      <c r="I698" t="s">
        <v>1391</v>
      </c>
      <c r="J698" t="b">
        <f>IF(OR(INDEX(OHZ_HAZ_UNITTYPE,191,1)="TEU",),INDEX(OHZ_HAZ_TEUID,191,1)&lt;&gt;"",TRUE)</f>
        <v>1</v>
      </c>
      <c r="K698" t="str">
        <f t="shared" si="21"/>
        <v>Row 191 - If ‘TEU type’ is ‘TEU’ then ‘TEU Id’ is required</v>
      </c>
      <c r="L698" t="s">
        <v>1391</v>
      </c>
    </row>
    <row r="699" spans="7:12" x14ac:dyDescent="0.25">
      <c r="G699" t="b">
        <f>IF(OR(INDEX(IHZ_HAZ_UNITTYPE,192,1)="TEU",),INDEX(IHZ_HAZ_TEUID,192,1)&lt;&gt;"",TRUE)</f>
        <v>1</v>
      </c>
      <c r="H699" t="str">
        <f t="shared" si="20"/>
        <v>Row 192 - If ‘TEU type’ is ‘TEU’ then ‘TEU Id’ is required</v>
      </c>
      <c r="I699" t="s">
        <v>1391</v>
      </c>
      <c r="J699" t="b">
        <f>IF(OR(INDEX(OHZ_HAZ_UNITTYPE,192,1)="TEU",),INDEX(OHZ_HAZ_TEUID,192,1)&lt;&gt;"",TRUE)</f>
        <v>1</v>
      </c>
      <c r="K699" t="str">
        <f t="shared" si="21"/>
        <v>Row 192 - If ‘TEU type’ is ‘TEU’ then ‘TEU Id’ is required</v>
      </c>
      <c r="L699" t="s">
        <v>1391</v>
      </c>
    </row>
    <row r="700" spans="7:12" x14ac:dyDescent="0.25">
      <c r="G700" t="b">
        <f>IF(OR(INDEX(IHZ_HAZ_UNITTYPE,193,1)="TEU",),INDEX(IHZ_HAZ_TEUID,193,1)&lt;&gt;"",TRUE)</f>
        <v>1</v>
      </c>
      <c r="H700" t="str">
        <f t="shared" si="20"/>
        <v>Row 193 - If ‘TEU type’ is ‘TEU’ then ‘TEU Id’ is required</v>
      </c>
      <c r="I700" t="s">
        <v>1391</v>
      </c>
      <c r="J700" t="b">
        <f>IF(OR(INDEX(OHZ_HAZ_UNITTYPE,193,1)="TEU",),INDEX(OHZ_HAZ_TEUID,193,1)&lt;&gt;"",TRUE)</f>
        <v>1</v>
      </c>
      <c r="K700" t="str">
        <f t="shared" si="21"/>
        <v>Row 193 - If ‘TEU type’ is ‘TEU’ then ‘TEU Id’ is required</v>
      </c>
      <c r="L700" t="s">
        <v>1391</v>
      </c>
    </row>
    <row r="701" spans="7:12" x14ac:dyDescent="0.25">
      <c r="G701" t="b">
        <f>IF(OR(INDEX(IHZ_HAZ_UNITTYPE,194,1)="TEU",),INDEX(IHZ_HAZ_TEUID,194,1)&lt;&gt;"",TRUE)</f>
        <v>1</v>
      </c>
      <c r="H701" t="str">
        <f t="shared" ref="H701:H757" si="22">T194&amp;$V$3</f>
        <v>Row 194 - If ‘TEU type’ is ‘TEU’ then ‘TEU Id’ is required</v>
      </c>
      <c r="I701" t="s">
        <v>1391</v>
      </c>
      <c r="J701" t="b">
        <f>IF(OR(INDEX(OHZ_HAZ_UNITTYPE,194,1)="TEU",),INDEX(OHZ_HAZ_TEUID,194,1)&lt;&gt;"",TRUE)</f>
        <v>1</v>
      </c>
      <c r="K701" t="str">
        <f t="shared" ref="K701:K757" si="23">T194&amp;$V$3</f>
        <v>Row 194 - If ‘TEU type’ is ‘TEU’ then ‘TEU Id’ is required</v>
      </c>
      <c r="L701" t="s">
        <v>1391</v>
      </c>
    </row>
    <row r="702" spans="7:12" x14ac:dyDescent="0.25">
      <c r="G702" t="b">
        <f>IF(OR(INDEX(IHZ_HAZ_UNITTYPE,195,1)="TEU",),INDEX(IHZ_HAZ_TEUID,195,1)&lt;&gt;"",TRUE)</f>
        <v>1</v>
      </c>
      <c r="H702" t="str">
        <f t="shared" si="22"/>
        <v>Row 195 - If ‘TEU type’ is ‘TEU’ then ‘TEU Id’ is required</v>
      </c>
      <c r="I702" t="s">
        <v>1391</v>
      </c>
      <c r="J702" t="b">
        <f>IF(OR(INDEX(OHZ_HAZ_UNITTYPE,195,1)="TEU",),INDEX(OHZ_HAZ_TEUID,195,1)&lt;&gt;"",TRUE)</f>
        <v>1</v>
      </c>
      <c r="K702" t="str">
        <f t="shared" si="23"/>
        <v>Row 195 - If ‘TEU type’ is ‘TEU’ then ‘TEU Id’ is required</v>
      </c>
      <c r="L702" t="s">
        <v>1391</v>
      </c>
    </row>
    <row r="703" spans="7:12" x14ac:dyDescent="0.25">
      <c r="G703" t="b">
        <f>IF(OR(INDEX(IHZ_HAZ_UNITTYPE,196,1)="TEU",),INDEX(IHZ_HAZ_TEUID,196,1)&lt;&gt;"",TRUE)</f>
        <v>1</v>
      </c>
      <c r="H703" t="str">
        <f t="shared" si="22"/>
        <v>Row 196 - If ‘TEU type’ is ‘TEU’ then ‘TEU Id’ is required</v>
      </c>
      <c r="I703" t="s">
        <v>1391</v>
      </c>
      <c r="J703" t="b">
        <f>IF(OR(INDEX(OHZ_HAZ_UNITTYPE,196,1)="TEU",),INDEX(OHZ_HAZ_TEUID,196,1)&lt;&gt;"",TRUE)</f>
        <v>1</v>
      </c>
      <c r="K703" t="str">
        <f t="shared" si="23"/>
        <v>Row 196 - If ‘TEU type’ is ‘TEU’ then ‘TEU Id’ is required</v>
      </c>
      <c r="L703" t="s">
        <v>1391</v>
      </c>
    </row>
    <row r="704" spans="7:12" x14ac:dyDescent="0.25">
      <c r="G704" t="b">
        <f>IF(OR(INDEX(IHZ_HAZ_UNITTYPE,197,1)="TEU",),INDEX(IHZ_HAZ_TEUID,197,1)&lt;&gt;"",TRUE)</f>
        <v>1</v>
      </c>
      <c r="H704" t="str">
        <f t="shared" si="22"/>
        <v>Row 197 - If ‘TEU type’ is ‘TEU’ then ‘TEU Id’ is required</v>
      </c>
      <c r="I704" t="s">
        <v>1391</v>
      </c>
      <c r="J704" t="b">
        <f>IF(OR(INDEX(OHZ_HAZ_UNITTYPE,197,1)="TEU",),INDEX(OHZ_HAZ_TEUID,197,1)&lt;&gt;"",TRUE)</f>
        <v>1</v>
      </c>
      <c r="K704" t="str">
        <f t="shared" si="23"/>
        <v>Row 197 - If ‘TEU type’ is ‘TEU’ then ‘TEU Id’ is required</v>
      </c>
      <c r="L704" t="s">
        <v>1391</v>
      </c>
    </row>
    <row r="705" spans="7:12" x14ac:dyDescent="0.25">
      <c r="G705" t="b">
        <f>IF(OR(INDEX(IHZ_HAZ_UNITTYPE,198,1)="TEU",),INDEX(IHZ_HAZ_TEUID,198,1)&lt;&gt;"",TRUE)</f>
        <v>1</v>
      </c>
      <c r="H705" t="str">
        <f t="shared" si="22"/>
        <v>Row 198 - If ‘TEU type’ is ‘TEU’ then ‘TEU Id’ is required</v>
      </c>
      <c r="I705" t="s">
        <v>1391</v>
      </c>
      <c r="J705" t="b">
        <f>IF(OR(INDEX(OHZ_HAZ_UNITTYPE,198,1)="TEU",),INDEX(OHZ_HAZ_TEUID,198,1)&lt;&gt;"",TRUE)</f>
        <v>1</v>
      </c>
      <c r="K705" t="str">
        <f t="shared" si="23"/>
        <v>Row 198 - If ‘TEU type’ is ‘TEU’ then ‘TEU Id’ is required</v>
      </c>
      <c r="L705" t="s">
        <v>1391</v>
      </c>
    </row>
    <row r="706" spans="7:12" x14ac:dyDescent="0.25">
      <c r="G706" t="b">
        <f>IF(OR(INDEX(IHZ_HAZ_UNITTYPE,199,1)="TEU",),INDEX(IHZ_HAZ_TEUID,199,1)&lt;&gt;"",TRUE)</f>
        <v>1</v>
      </c>
      <c r="H706" t="str">
        <f t="shared" si="22"/>
        <v>Row 199 - If ‘TEU type’ is ‘TEU’ then ‘TEU Id’ is required</v>
      </c>
      <c r="I706" t="s">
        <v>1391</v>
      </c>
      <c r="J706" t="b">
        <f>IF(OR(INDEX(OHZ_HAZ_UNITTYPE,199,1)="TEU",),INDEX(OHZ_HAZ_TEUID,199,1)&lt;&gt;"",TRUE)</f>
        <v>1</v>
      </c>
      <c r="K706" t="str">
        <f t="shared" si="23"/>
        <v>Row 199 - If ‘TEU type’ is ‘TEU’ then ‘TEU Id’ is required</v>
      </c>
      <c r="L706" t="s">
        <v>1391</v>
      </c>
    </row>
    <row r="707" spans="7:12" x14ac:dyDescent="0.25">
      <c r="G707" t="b">
        <f>IF(OR(INDEX(IHZ_HAZ_UNITTYPE,200,1)="TEU",),INDEX(IHZ_HAZ_TEUID,200,1)&lt;&gt;"",TRUE)</f>
        <v>1</v>
      </c>
      <c r="H707" t="str">
        <f t="shared" si="22"/>
        <v>Row 200 - If ‘TEU type’ is ‘TEU’ then ‘TEU Id’ is required</v>
      </c>
      <c r="I707" t="s">
        <v>1391</v>
      </c>
      <c r="J707" t="b">
        <f>IF(OR(INDEX(OHZ_HAZ_UNITTYPE,200,1)="TEU",),INDEX(OHZ_HAZ_TEUID,200,1)&lt;&gt;"",TRUE)</f>
        <v>1</v>
      </c>
      <c r="K707" t="str">
        <f t="shared" si="23"/>
        <v>Row 200 - If ‘TEU type’ is ‘TEU’ then ‘TEU Id’ is required</v>
      </c>
      <c r="L707" t="s">
        <v>1391</v>
      </c>
    </row>
    <row r="708" spans="7:12" x14ac:dyDescent="0.25">
      <c r="G708" t="b">
        <f>IF(OR(INDEX(IHZ_HAZ_UNITTYPE,201,1)="TEU",),INDEX(IHZ_HAZ_TEUID,201,1)&lt;&gt;"",TRUE)</f>
        <v>1</v>
      </c>
      <c r="H708" t="str">
        <f t="shared" si="22"/>
        <v>Row 201 - If ‘TEU type’ is ‘TEU’ then ‘TEU Id’ is required</v>
      </c>
      <c r="I708" t="s">
        <v>1391</v>
      </c>
      <c r="J708" t="b">
        <f>IF(OR(INDEX(OHZ_HAZ_UNITTYPE,201,1)="TEU",),INDEX(OHZ_HAZ_TEUID,201,1)&lt;&gt;"",TRUE)</f>
        <v>1</v>
      </c>
      <c r="K708" t="str">
        <f t="shared" si="23"/>
        <v>Row 201 - If ‘TEU type’ is ‘TEU’ then ‘TEU Id’ is required</v>
      </c>
      <c r="L708" t="s">
        <v>1391</v>
      </c>
    </row>
    <row r="709" spans="7:12" x14ac:dyDescent="0.25">
      <c r="G709" t="b">
        <f>IF(OR(INDEX(IHZ_HAZ_UNITTYPE,202,1)="TEU",),INDEX(IHZ_HAZ_TEUID,202,1)&lt;&gt;"",TRUE)</f>
        <v>1</v>
      </c>
      <c r="H709" t="str">
        <f t="shared" si="22"/>
        <v>Row 202 - If ‘TEU type’ is ‘TEU’ then ‘TEU Id’ is required</v>
      </c>
      <c r="I709" t="s">
        <v>1391</v>
      </c>
      <c r="J709" t="b">
        <f>IF(OR(INDEX(OHZ_HAZ_UNITTYPE,202,1)="TEU",),INDEX(OHZ_HAZ_TEUID,202,1)&lt;&gt;"",TRUE)</f>
        <v>1</v>
      </c>
      <c r="K709" t="str">
        <f t="shared" si="23"/>
        <v>Row 202 - If ‘TEU type’ is ‘TEU’ then ‘TEU Id’ is required</v>
      </c>
      <c r="L709" t="s">
        <v>1391</v>
      </c>
    </row>
    <row r="710" spans="7:12" x14ac:dyDescent="0.25">
      <c r="G710" t="b">
        <f>IF(OR(INDEX(IHZ_HAZ_UNITTYPE,203,1)="TEU",),INDEX(IHZ_HAZ_TEUID,203,1)&lt;&gt;"",TRUE)</f>
        <v>1</v>
      </c>
      <c r="H710" t="str">
        <f t="shared" si="22"/>
        <v>Row 203 - If ‘TEU type’ is ‘TEU’ then ‘TEU Id’ is required</v>
      </c>
      <c r="I710" t="s">
        <v>1391</v>
      </c>
      <c r="J710" t="b">
        <f>IF(OR(INDEX(OHZ_HAZ_UNITTYPE,203,1)="TEU",),INDEX(OHZ_HAZ_TEUID,203,1)&lt;&gt;"",TRUE)</f>
        <v>1</v>
      </c>
      <c r="K710" t="str">
        <f t="shared" si="23"/>
        <v>Row 203 - If ‘TEU type’ is ‘TEU’ then ‘TEU Id’ is required</v>
      </c>
      <c r="L710" t="s">
        <v>1391</v>
      </c>
    </row>
    <row r="711" spans="7:12" x14ac:dyDescent="0.25">
      <c r="G711" t="b">
        <f>IF(OR(INDEX(IHZ_HAZ_UNITTYPE,204,1)="TEU",),INDEX(IHZ_HAZ_TEUID,204,1)&lt;&gt;"",TRUE)</f>
        <v>1</v>
      </c>
      <c r="H711" t="str">
        <f t="shared" si="22"/>
        <v>Row 204 - If ‘TEU type’ is ‘TEU’ then ‘TEU Id’ is required</v>
      </c>
      <c r="I711" t="s">
        <v>1391</v>
      </c>
      <c r="J711" t="b">
        <f>IF(OR(INDEX(OHZ_HAZ_UNITTYPE,204,1)="TEU",),INDEX(OHZ_HAZ_TEUID,204,1)&lt;&gt;"",TRUE)</f>
        <v>1</v>
      </c>
      <c r="K711" t="str">
        <f t="shared" si="23"/>
        <v>Row 204 - If ‘TEU type’ is ‘TEU’ then ‘TEU Id’ is required</v>
      </c>
      <c r="L711" t="s">
        <v>1391</v>
      </c>
    </row>
    <row r="712" spans="7:12" x14ac:dyDescent="0.25">
      <c r="G712" t="b">
        <f>IF(OR(INDEX(IHZ_HAZ_UNITTYPE,205,1)="TEU",),INDEX(IHZ_HAZ_TEUID,205,1)&lt;&gt;"",TRUE)</f>
        <v>1</v>
      </c>
      <c r="H712" t="str">
        <f t="shared" si="22"/>
        <v>Row 205 - If ‘TEU type’ is ‘TEU’ then ‘TEU Id’ is required</v>
      </c>
      <c r="I712" t="s">
        <v>1391</v>
      </c>
      <c r="J712" t="b">
        <f>IF(OR(INDEX(OHZ_HAZ_UNITTYPE,205,1)="TEU",),INDEX(OHZ_HAZ_TEUID,205,1)&lt;&gt;"",TRUE)</f>
        <v>1</v>
      </c>
      <c r="K712" t="str">
        <f t="shared" si="23"/>
        <v>Row 205 - If ‘TEU type’ is ‘TEU’ then ‘TEU Id’ is required</v>
      </c>
      <c r="L712" t="s">
        <v>1391</v>
      </c>
    </row>
    <row r="713" spans="7:12" x14ac:dyDescent="0.25">
      <c r="G713" t="b">
        <f>IF(OR(INDEX(IHZ_HAZ_UNITTYPE,206,1)="TEU",),INDEX(IHZ_HAZ_TEUID,206,1)&lt;&gt;"",TRUE)</f>
        <v>1</v>
      </c>
      <c r="H713" t="str">
        <f t="shared" si="22"/>
        <v>Row 206 - If ‘TEU type’ is ‘TEU’ then ‘TEU Id’ is required</v>
      </c>
      <c r="I713" t="s">
        <v>1391</v>
      </c>
      <c r="J713" t="b">
        <f>IF(OR(INDEX(OHZ_HAZ_UNITTYPE,206,1)="TEU",),INDEX(OHZ_HAZ_TEUID,206,1)&lt;&gt;"",TRUE)</f>
        <v>1</v>
      </c>
      <c r="K713" t="str">
        <f t="shared" si="23"/>
        <v>Row 206 - If ‘TEU type’ is ‘TEU’ then ‘TEU Id’ is required</v>
      </c>
      <c r="L713" t="s">
        <v>1391</v>
      </c>
    </row>
    <row r="714" spans="7:12" x14ac:dyDescent="0.25">
      <c r="G714" t="b">
        <f>IF(OR(INDEX(IHZ_HAZ_UNITTYPE,207,1)="TEU",),INDEX(IHZ_HAZ_TEUID,207,1)&lt;&gt;"",TRUE)</f>
        <v>1</v>
      </c>
      <c r="H714" t="str">
        <f t="shared" si="22"/>
        <v>Row 207 - If ‘TEU type’ is ‘TEU’ then ‘TEU Id’ is required</v>
      </c>
      <c r="I714" t="s">
        <v>1391</v>
      </c>
      <c r="J714" t="b">
        <f>IF(OR(INDEX(OHZ_HAZ_UNITTYPE,207,1)="TEU",),INDEX(OHZ_HAZ_TEUID,207,1)&lt;&gt;"",TRUE)</f>
        <v>1</v>
      </c>
      <c r="K714" t="str">
        <f t="shared" si="23"/>
        <v>Row 207 - If ‘TEU type’ is ‘TEU’ then ‘TEU Id’ is required</v>
      </c>
      <c r="L714" t="s">
        <v>1391</v>
      </c>
    </row>
    <row r="715" spans="7:12" x14ac:dyDescent="0.25">
      <c r="G715" t="b">
        <f>IF(OR(INDEX(IHZ_HAZ_UNITTYPE,208,1)="TEU",),INDEX(IHZ_HAZ_TEUID,208,1)&lt;&gt;"",TRUE)</f>
        <v>1</v>
      </c>
      <c r="H715" t="str">
        <f t="shared" si="22"/>
        <v>Row 208 - If ‘TEU type’ is ‘TEU’ then ‘TEU Id’ is required</v>
      </c>
      <c r="I715" t="s">
        <v>1391</v>
      </c>
      <c r="J715" t="b">
        <f>IF(OR(INDEX(OHZ_HAZ_UNITTYPE,208,1)="TEU",),INDEX(OHZ_HAZ_TEUID,208,1)&lt;&gt;"",TRUE)</f>
        <v>1</v>
      </c>
      <c r="K715" t="str">
        <f t="shared" si="23"/>
        <v>Row 208 - If ‘TEU type’ is ‘TEU’ then ‘TEU Id’ is required</v>
      </c>
      <c r="L715" t="s">
        <v>1391</v>
      </c>
    </row>
    <row r="716" spans="7:12" x14ac:dyDescent="0.25">
      <c r="G716" t="b">
        <f>IF(OR(INDEX(IHZ_HAZ_UNITTYPE,209,1)="TEU",),INDEX(IHZ_HAZ_TEUID,209,1)&lt;&gt;"",TRUE)</f>
        <v>1</v>
      </c>
      <c r="H716" t="str">
        <f t="shared" si="22"/>
        <v>Row 209 - If ‘TEU type’ is ‘TEU’ then ‘TEU Id’ is required</v>
      </c>
      <c r="I716" t="s">
        <v>1391</v>
      </c>
      <c r="J716" t="b">
        <f>IF(OR(INDEX(OHZ_HAZ_UNITTYPE,209,1)="TEU",),INDEX(OHZ_HAZ_TEUID,209,1)&lt;&gt;"",TRUE)</f>
        <v>1</v>
      </c>
      <c r="K716" t="str">
        <f t="shared" si="23"/>
        <v>Row 209 - If ‘TEU type’ is ‘TEU’ then ‘TEU Id’ is required</v>
      </c>
      <c r="L716" t="s">
        <v>1391</v>
      </c>
    </row>
    <row r="717" spans="7:12" x14ac:dyDescent="0.25">
      <c r="G717" t="b">
        <f>IF(OR(INDEX(IHZ_HAZ_UNITTYPE,210,1)="TEU",),INDEX(IHZ_HAZ_TEUID,210,1)&lt;&gt;"",TRUE)</f>
        <v>1</v>
      </c>
      <c r="H717" t="str">
        <f t="shared" si="22"/>
        <v>Row 210 - If ‘TEU type’ is ‘TEU’ then ‘TEU Id’ is required</v>
      </c>
      <c r="I717" t="s">
        <v>1391</v>
      </c>
      <c r="J717" t="b">
        <f>IF(OR(INDEX(OHZ_HAZ_UNITTYPE,210,1)="TEU",),INDEX(OHZ_HAZ_TEUID,210,1)&lt;&gt;"",TRUE)</f>
        <v>1</v>
      </c>
      <c r="K717" t="str">
        <f t="shared" si="23"/>
        <v>Row 210 - If ‘TEU type’ is ‘TEU’ then ‘TEU Id’ is required</v>
      </c>
      <c r="L717" t="s">
        <v>1391</v>
      </c>
    </row>
    <row r="718" spans="7:12" x14ac:dyDescent="0.25">
      <c r="G718" t="b">
        <f>IF(OR(INDEX(IHZ_HAZ_UNITTYPE,211,1)="TEU",),INDEX(IHZ_HAZ_TEUID,211,1)&lt;&gt;"",TRUE)</f>
        <v>1</v>
      </c>
      <c r="H718" t="str">
        <f t="shared" si="22"/>
        <v>Row 211 - If ‘TEU type’ is ‘TEU’ then ‘TEU Id’ is required</v>
      </c>
      <c r="I718" t="s">
        <v>1391</v>
      </c>
      <c r="J718" t="b">
        <f>IF(OR(INDEX(OHZ_HAZ_UNITTYPE,211,1)="TEU",),INDEX(OHZ_HAZ_TEUID,211,1)&lt;&gt;"",TRUE)</f>
        <v>1</v>
      </c>
      <c r="K718" t="str">
        <f t="shared" si="23"/>
        <v>Row 211 - If ‘TEU type’ is ‘TEU’ then ‘TEU Id’ is required</v>
      </c>
      <c r="L718" t="s">
        <v>1391</v>
      </c>
    </row>
    <row r="719" spans="7:12" x14ac:dyDescent="0.25">
      <c r="G719" t="b">
        <f>IF(OR(INDEX(IHZ_HAZ_UNITTYPE,212,1)="TEU",),INDEX(IHZ_HAZ_TEUID,212,1)&lt;&gt;"",TRUE)</f>
        <v>1</v>
      </c>
      <c r="H719" t="str">
        <f t="shared" si="22"/>
        <v>Row 212 - If ‘TEU type’ is ‘TEU’ then ‘TEU Id’ is required</v>
      </c>
      <c r="I719" t="s">
        <v>1391</v>
      </c>
      <c r="J719" t="b">
        <f>IF(OR(INDEX(OHZ_HAZ_UNITTYPE,212,1)="TEU",),INDEX(OHZ_HAZ_TEUID,212,1)&lt;&gt;"",TRUE)</f>
        <v>1</v>
      </c>
      <c r="K719" t="str">
        <f t="shared" si="23"/>
        <v>Row 212 - If ‘TEU type’ is ‘TEU’ then ‘TEU Id’ is required</v>
      </c>
      <c r="L719" t="s">
        <v>1391</v>
      </c>
    </row>
    <row r="720" spans="7:12" x14ac:dyDescent="0.25">
      <c r="G720" t="b">
        <f>IF(OR(INDEX(IHZ_HAZ_UNITTYPE,213,1)="TEU",),INDEX(IHZ_HAZ_TEUID,213,1)&lt;&gt;"",TRUE)</f>
        <v>1</v>
      </c>
      <c r="H720" t="str">
        <f t="shared" si="22"/>
        <v>Row 213 - If ‘TEU type’ is ‘TEU’ then ‘TEU Id’ is required</v>
      </c>
      <c r="I720" t="s">
        <v>1391</v>
      </c>
      <c r="J720" t="b">
        <f>IF(OR(INDEX(OHZ_HAZ_UNITTYPE,213,1)="TEU",),INDEX(OHZ_HAZ_TEUID,213,1)&lt;&gt;"",TRUE)</f>
        <v>1</v>
      </c>
      <c r="K720" t="str">
        <f t="shared" si="23"/>
        <v>Row 213 - If ‘TEU type’ is ‘TEU’ then ‘TEU Id’ is required</v>
      </c>
      <c r="L720" t="s">
        <v>1391</v>
      </c>
    </row>
    <row r="721" spans="7:12" x14ac:dyDescent="0.25">
      <c r="G721" t="b">
        <f>IF(OR(INDEX(IHZ_HAZ_UNITTYPE,214,1)="TEU",),INDEX(IHZ_HAZ_TEUID,214,1)&lt;&gt;"",TRUE)</f>
        <v>1</v>
      </c>
      <c r="H721" t="str">
        <f t="shared" si="22"/>
        <v>Row 214 - If ‘TEU type’ is ‘TEU’ then ‘TEU Id’ is required</v>
      </c>
      <c r="I721" t="s">
        <v>1391</v>
      </c>
      <c r="J721" t="b">
        <f>IF(OR(INDEX(OHZ_HAZ_UNITTYPE,214,1)="TEU",),INDEX(OHZ_HAZ_TEUID,214,1)&lt;&gt;"",TRUE)</f>
        <v>1</v>
      </c>
      <c r="K721" t="str">
        <f t="shared" si="23"/>
        <v>Row 214 - If ‘TEU type’ is ‘TEU’ then ‘TEU Id’ is required</v>
      </c>
      <c r="L721" t="s">
        <v>1391</v>
      </c>
    </row>
    <row r="722" spans="7:12" x14ac:dyDescent="0.25">
      <c r="G722" t="b">
        <f>IF(OR(INDEX(IHZ_HAZ_UNITTYPE,215,1)="TEU",),INDEX(IHZ_HAZ_TEUID,215,1)&lt;&gt;"",TRUE)</f>
        <v>1</v>
      </c>
      <c r="H722" t="str">
        <f t="shared" si="22"/>
        <v>Row 215 - If ‘TEU type’ is ‘TEU’ then ‘TEU Id’ is required</v>
      </c>
      <c r="I722" t="s">
        <v>1391</v>
      </c>
      <c r="J722" t="b">
        <f>IF(OR(INDEX(OHZ_HAZ_UNITTYPE,215,1)="TEU",),INDEX(OHZ_HAZ_TEUID,215,1)&lt;&gt;"",TRUE)</f>
        <v>1</v>
      </c>
      <c r="K722" t="str">
        <f t="shared" si="23"/>
        <v>Row 215 - If ‘TEU type’ is ‘TEU’ then ‘TEU Id’ is required</v>
      </c>
      <c r="L722" t="s">
        <v>1391</v>
      </c>
    </row>
    <row r="723" spans="7:12" x14ac:dyDescent="0.25">
      <c r="G723" t="b">
        <f>IF(OR(INDEX(IHZ_HAZ_UNITTYPE,216,1)="TEU",),INDEX(IHZ_HAZ_TEUID,216,1)&lt;&gt;"",TRUE)</f>
        <v>1</v>
      </c>
      <c r="H723" t="str">
        <f t="shared" si="22"/>
        <v>Row 216 - If ‘TEU type’ is ‘TEU’ then ‘TEU Id’ is required</v>
      </c>
      <c r="I723" t="s">
        <v>1391</v>
      </c>
      <c r="J723" t="b">
        <f>IF(OR(INDEX(OHZ_HAZ_UNITTYPE,216,1)="TEU",),INDEX(OHZ_HAZ_TEUID,216,1)&lt;&gt;"",TRUE)</f>
        <v>1</v>
      </c>
      <c r="K723" t="str">
        <f t="shared" si="23"/>
        <v>Row 216 - If ‘TEU type’ is ‘TEU’ then ‘TEU Id’ is required</v>
      </c>
      <c r="L723" t="s">
        <v>1391</v>
      </c>
    </row>
    <row r="724" spans="7:12" x14ac:dyDescent="0.25">
      <c r="G724" t="b">
        <f>IF(OR(INDEX(IHZ_HAZ_UNITTYPE,217,1)="TEU",),INDEX(IHZ_HAZ_TEUID,217,1)&lt;&gt;"",TRUE)</f>
        <v>1</v>
      </c>
      <c r="H724" t="str">
        <f t="shared" si="22"/>
        <v>Row 217 - If ‘TEU type’ is ‘TEU’ then ‘TEU Id’ is required</v>
      </c>
      <c r="I724" t="s">
        <v>1391</v>
      </c>
      <c r="J724" t="b">
        <f>IF(OR(INDEX(OHZ_HAZ_UNITTYPE,217,1)="TEU",),INDEX(OHZ_HAZ_TEUID,217,1)&lt;&gt;"",TRUE)</f>
        <v>1</v>
      </c>
      <c r="K724" t="str">
        <f t="shared" si="23"/>
        <v>Row 217 - If ‘TEU type’ is ‘TEU’ then ‘TEU Id’ is required</v>
      </c>
      <c r="L724" t="s">
        <v>1391</v>
      </c>
    </row>
    <row r="725" spans="7:12" x14ac:dyDescent="0.25">
      <c r="G725" t="b">
        <f>IF(OR(INDEX(IHZ_HAZ_UNITTYPE,218,1)="TEU",),INDEX(IHZ_HAZ_TEUID,218,1)&lt;&gt;"",TRUE)</f>
        <v>1</v>
      </c>
      <c r="H725" t="str">
        <f t="shared" si="22"/>
        <v>Row 218 - If ‘TEU type’ is ‘TEU’ then ‘TEU Id’ is required</v>
      </c>
      <c r="I725" t="s">
        <v>1391</v>
      </c>
      <c r="J725" t="b">
        <f>IF(OR(INDEX(OHZ_HAZ_UNITTYPE,218,1)="TEU",),INDEX(OHZ_HAZ_TEUID,218,1)&lt;&gt;"",TRUE)</f>
        <v>1</v>
      </c>
      <c r="K725" t="str">
        <f t="shared" si="23"/>
        <v>Row 218 - If ‘TEU type’ is ‘TEU’ then ‘TEU Id’ is required</v>
      </c>
      <c r="L725" t="s">
        <v>1391</v>
      </c>
    </row>
    <row r="726" spans="7:12" x14ac:dyDescent="0.25">
      <c r="G726" t="b">
        <f>IF(OR(INDEX(IHZ_HAZ_UNITTYPE,219,1)="TEU",),INDEX(IHZ_HAZ_TEUID,219,1)&lt;&gt;"",TRUE)</f>
        <v>1</v>
      </c>
      <c r="H726" t="str">
        <f t="shared" si="22"/>
        <v>Row 219 - If ‘TEU type’ is ‘TEU’ then ‘TEU Id’ is required</v>
      </c>
      <c r="I726" t="s">
        <v>1391</v>
      </c>
      <c r="J726" t="b">
        <f>IF(OR(INDEX(OHZ_HAZ_UNITTYPE,219,1)="TEU",),INDEX(OHZ_HAZ_TEUID,219,1)&lt;&gt;"",TRUE)</f>
        <v>1</v>
      </c>
      <c r="K726" t="str">
        <f t="shared" si="23"/>
        <v>Row 219 - If ‘TEU type’ is ‘TEU’ then ‘TEU Id’ is required</v>
      </c>
      <c r="L726" t="s">
        <v>1391</v>
      </c>
    </row>
    <row r="727" spans="7:12" x14ac:dyDescent="0.25">
      <c r="G727" t="b">
        <f>IF(OR(INDEX(IHZ_HAZ_UNITTYPE,220,1)="TEU",),INDEX(IHZ_HAZ_TEUID,220,1)&lt;&gt;"",TRUE)</f>
        <v>1</v>
      </c>
      <c r="H727" t="str">
        <f t="shared" si="22"/>
        <v>Row 220 - If ‘TEU type’ is ‘TEU’ then ‘TEU Id’ is required</v>
      </c>
      <c r="I727" t="s">
        <v>1391</v>
      </c>
      <c r="J727" t="b">
        <f>IF(OR(INDEX(OHZ_HAZ_UNITTYPE,220,1)="TEU",),INDEX(OHZ_HAZ_TEUID,220,1)&lt;&gt;"",TRUE)</f>
        <v>1</v>
      </c>
      <c r="K727" t="str">
        <f t="shared" si="23"/>
        <v>Row 220 - If ‘TEU type’ is ‘TEU’ then ‘TEU Id’ is required</v>
      </c>
      <c r="L727" t="s">
        <v>1391</v>
      </c>
    </row>
    <row r="728" spans="7:12" x14ac:dyDescent="0.25">
      <c r="G728" t="b">
        <f>IF(OR(INDEX(IHZ_HAZ_UNITTYPE,221,1)="TEU",),INDEX(IHZ_HAZ_TEUID,221,1)&lt;&gt;"",TRUE)</f>
        <v>1</v>
      </c>
      <c r="H728" t="str">
        <f t="shared" si="22"/>
        <v>Row 221 - If ‘TEU type’ is ‘TEU’ then ‘TEU Id’ is required</v>
      </c>
      <c r="I728" t="s">
        <v>1391</v>
      </c>
      <c r="J728" t="b">
        <f>IF(OR(INDEX(OHZ_HAZ_UNITTYPE,221,1)="TEU",),INDEX(OHZ_HAZ_TEUID,221,1)&lt;&gt;"",TRUE)</f>
        <v>1</v>
      </c>
      <c r="K728" t="str">
        <f t="shared" si="23"/>
        <v>Row 221 - If ‘TEU type’ is ‘TEU’ then ‘TEU Id’ is required</v>
      </c>
      <c r="L728" t="s">
        <v>1391</v>
      </c>
    </row>
    <row r="729" spans="7:12" x14ac:dyDescent="0.25">
      <c r="G729" t="b">
        <f>IF(OR(INDEX(IHZ_HAZ_UNITTYPE,222,1)="TEU",),INDEX(IHZ_HAZ_TEUID,222,1)&lt;&gt;"",TRUE)</f>
        <v>1</v>
      </c>
      <c r="H729" t="str">
        <f t="shared" si="22"/>
        <v>Row 222 - If ‘TEU type’ is ‘TEU’ then ‘TEU Id’ is required</v>
      </c>
      <c r="I729" t="s">
        <v>1391</v>
      </c>
      <c r="J729" t="b">
        <f>IF(OR(INDEX(OHZ_HAZ_UNITTYPE,222,1)="TEU",),INDEX(OHZ_HAZ_TEUID,222,1)&lt;&gt;"",TRUE)</f>
        <v>1</v>
      </c>
      <c r="K729" t="str">
        <f t="shared" si="23"/>
        <v>Row 222 - If ‘TEU type’ is ‘TEU’ then ‘TEU Id’ is required</v>
      </c>
      <c r="L729" t="s">
        <v>1391</v>
      </c>
    </row>
    <row r="730" spans="7:12" x14ac:dyDescent="0.25">
      <c r="G730" t="b">
        <f>IF(OR(INDEX(IHZ_HAZ_UNITTYPE,223,1)="TEU",),INDEX(IHZ_HAZ_TEUID,223,1)&lt;&gt;"",TRUE)</f>
        <v>1</v>
      </c>
      <c r="H730" t="str">
        <f t="shared" si="22"/>
        <v>Row 223 - If ‘TEU type’ is ‘TEU’ then ‘TEU Id’ is required</v>
      </c>
      <c r="I730" t="s">
        <v>1391</v>
      </c>
      <c r="J730" t="b">
        <f>IF(OR(INDEX(OHZ_HAZ_UNITTYPE,223,1)="TEU",),INDEX(OHZ_HAZ_TEUID,223,1)&lt;&gt;"",TRUE)</f>
        <v>1</v>
      </c>
      <c r="K730" t="str">
        <f t="shared" si="23"/>
        <v>Row 223 - If ‘TEU type’ is ‘TEU’ then ‘TEU Id’ is required</v>
      </c>
      <c r="L730" t="s">
        <v>1391</v>
      </c>
    </row>
    <row r="731" spans="7:12" x14ac:dyDescent="0.25">
      <c r="G731" t="b">
        <f>IF(OR(INDEX(IHZ_HAZ_UNITTYPE,224,1)="TEU",),INDEX(IHZ_HAZ_TEUID,224,1)&lt;&gt;"",TRUE)</f>
        <v>1</v>
      </c>
      <c r="H731" t="str">
        <f t="shared" si="22"/>
        <v>Row 224 - If ‘TEU type’ is ‘TEU’ then ‘TEU Id’ is required</v>
      </c>
      <c r="I731" t="s">
        <v>1391</v>
      </c>
      <c r="J731" t="b">
        <f>IF(OR(INDEX(OHZ_HAZ_UNITTYPE,224,1)="TEU",),INDEX(OHZ_HAZ_TEUID,224,1)&lt;&gt;"",TRUE)</f>
        <v>1</v>
      </c>
      <c r="K731" t="str">
        <f t="shared" si="23"/>
        <v>Row 224 - If ‘TEU type’ is ‘TEU’ then ‘TEU Id’ is required</v>
      </c>
      <c r="L731" t="s">
        <v>1391</v>
      </c>
    </row>
    <row r="732" spans="7:12" x14ac:dyDescent="0.25">
      <c r="G732" t="b">
        <f>IF(OR(INDEX(IHZ_HAZ_UNITTYPE,225,1)="TEU",),INDEX(IHZ_HAZ_TEUID,225,1)&lt;&gt;"",TRUE)</f>
        <v>1</v>
      </c>
      <c r="H732" t="str">
        <f t="shared" si="22"/>
        <v>Row 225 - If ‘TEU type’ is ‘TEU’ then ‘TEU Id’ is required</v>
      </c>
      <c r="I732" t="s">
        <v>1391</v>
      </c>
      <c r="J732" t="b">
        <f>IF(OR(INDEX(OHZ_HAZ_UNITTYPE,225,1)="TEU",),INDEX(OHZ_HAZ_TEUID,225,1)&lt;&gt;"",TRUE)</f>
        <v>1</v>
      </c>
      <c r="K732" t="str">
        <f t="shared" si="23"/>
        <v>Row 225 - If ‘TEU type’ is ‘TEU’ then ‘TEU Id’ is required</v>
      </c>
      <c r="L732" t="s">
        <v>1391</v>
      </c>
    </row>
    <row r="733" spans="7:12" x14ac:dyDescent="0.25">
      <c r="G733" t="b">
        <f>IF(OR(INDEX(IHZ_HAZ_UNITTYPE,226,1)="TEU",),INDEX(IHZ_HAZ_TEUID,226,1)&lt;&gt;"",TRUE)</f>
        <v>1</v>
      </c>
      <c r="H733" t="str">
        <f t="shared" si="22"/>
        <v>Row 226 - If ‘TEU type’ is ‘TEU’ then ‘TEU Id’ is required</v>
      </c>
      <c r="I733" t="s">
        <v>1391</v>
      </c>
      <c r="J733" t="b">
        <f>IF(OR(INDEX(OHZ_HAZ_UNITTYPE,226,1)="TEU",),INDEX(OHZ_HAZ_TEUID,226,1)&lt;&gt;"",TRUE)</f>
        <v>1</v>
      </c>
      <c r="K733" t="str">
        <f t="shared" si="23"/>
        <v>Row 226 - If ‘TEU type’ is ‘TEU’ then ‘TEU Id’ is required</v>
      </c>
      <c r="L733" t="s">
        <v>1391</v>
      </c>
    </row>
    <row r="734" spans="7:12" x14ac:dyDescent="0.25">
      <c r="G734" t="b">
        <f>IF(OR(INDEX(IHZ_HAZ_UNITTYPE,227,1)="TEU",),INDEX(IHZ_HAZ_TEUID,227,1)&lt;&gt;"",TRUE)</f>
        <v>1</v>
      </c>
      <c r="H734" t="str">
        <f t="shared" si="22"/>
        <v>Row 227 - If ‘TEU type’ is ‘TEU’ then ‘TEU Id’ is required</v>
      </c>
      <c r="I734" t="s">
        <v>1391</v>
      </c>
      <c r="J734" t="b">
        <f>IF(OR(INDEX(OHZ_HAZ_UNITTYPE,227,1)="TEU",),INDEX(OHZ_HAZ_TEUID,227,1)&lt;&gt;"",TRUE)</f>
        <v>1</v>
      </c>
      <c r="K734" t="str">
        <f t="shared" si="23"/>
        <v>Row 227 - If ‘TEU type’ is ‘TEU’ then ‘TEU Id’ is required</v>
      </c>
      <c r="L734" t="s">
        <v>1391</v>
      </c>
    </row>
    <row r="735" spans="7:12" x14ac:dyDescent="0.25">
      <c r="G735" t="b">
        <f>IF(OR(INDEX(IHZ_HAZ_UNITTYPE,228,1)="TEU",),INDEX(IHZ_HAZ_TEUID,228,1)&lt;&gt;"",TRUE)</f>
        <v>1</v>
      </c>
      <c r="H735" t="str">
        <f t="shared" si="22"/>
        <v>Row 228 - If ‘TEU type’ is ‘TEU’ then ‘TEU Id’ is required</v>
      </c>
      <c r="I735" t="s">
        <v>1391</v>
      </c>
      <c r="J735" t="b">
        <f>IF(OR(INDEX(OHZ_HAZ_UNITTYPE,228,1)="TEU",),INDEX(OHZ_HAZ_TEUID,228,1)&lt;&gt;"",TRUE)</f>
        <v>1</v>
      </c>
      <c r="K735" t="str">
        <f t="shared" si="23"/>
        <v>Row 228 - If ‘TEU type’ is ‘TEU’ then ‘TEU Id’ is required</v>
      </c>
      <c r="L735" t="s">
        <v>1391</v>
      </c>
    </row>
    <row r="736" spans="7:12" x14ac:dyDescent="0.25">
      <c r="G736" t="b">
        <f>IF(OR(INDEX(IHZ_HAZ_UNITTYPE,229,1)="TEU",),INDEX(IHZ_HAZ_TEUID,229,1)&lt;&gt;"",TRUE)</f>
        <v>1</v>
      </c>
      <c r="H736" t="str">
        <f t="shared" si="22"/>
        <v>Row 229 - If ‘TEU type’ is ‘TEU’ then ‘TEU Id’ is required</v>
      </c>
      <c r="I736" t="s">
        <v>1391</v>
      </c>
      <c r="J736" t="b">
        <f>IF(OR(INDEX(OHZ_HAZ_UNITTYPE,229,1)="TEU",),INDEX(OHZ_HAZ_TEUID,229,1)&lt;&gt;"",TRUE)</f>
        <v>1</v>
      </c>
      <c r="K736" t="str">
        <f t="shared" si="23"/>
        <v>Row 229 - If ‘TEU type’ is ‘TEU’ then ‘TEU Id’ is required</v>
      </c>
      <c r="L736" t="s">
        <v>1391</v>
      </c>
    </row>
    <row r="737" spans="7:12" x14ac:dyDescent="0.25">
      <c r="G737" t="b">
        <f>IF(OR(INDEX(IHZ_HAZ_UNITTYPE,230,1)="TEU",),INDEX(IHZ_HAZ_TEUID,230,1)&lt;&gt;"",TRUE)</f>
        <v>1</v>
      </c>
      <c r="H737" t="str">
        <f t="shared" si="22"/>
        <v>Row 230 - If ‘TEU type’ is ‘TEU’ then ‘TEU Id’ is required</v>
      </c>
      <c r="I737" t="s">
        <v>1391</v>
      </c>
      <c r="J737" t="b">
        <f>IF(OR(INDEX(OHZ_HAZ_UNITTYPE,230,1)="TEU",),INDEX(OHZ_HAZ_TEUID,230,1)&lt;&gt;"",TRUE)</f>
        <v>1</v>
      </c>
      <c r="K737" t="str">
        <f t="shared" si="23"/>
        <v>Row 230 - If ‘TEU type’ is ‘TEU’ then ‘TEU Id’ is required</v>
      </c>
      <c r="L737" t="s">
        <v>1391</v>
      </c>
    </row>
    <row r="738" spans="7:12" x14ac:dyDescent="0.25">
      <c r="G738" t="b">
        <f>IF(OR(INDEX(IHZ_HAZ_UNITTYPE,231,1)="TEU",),INDEX(IHZ_HAZ_TEUID,231,1)&lt;&gt;"",TRUE)</f>
        <v>1</v>
      </c>
      <c r="H738" t="str">
        <f t="shared" si="22"/>
        <v>Row 231 - If ‘TEU type’ is ‘TEU’ then ‘TEU Id’ is required</v>
      </c>
      <c r="I738" t="s">
        <v>1391</v>
      </c>
      <c r="J738" t="b">
        <f>IF(OR(INDEX(OHZ_HAZ_UNITTYPE,231,1)="TEU",),INDEX(OHZ_HAZ_TEUID,231,1)&lt;&gt;"",TRUE)</f>
        <v>1</v>
      </c>
      <c r="K738" t="str">
        <f t="shared" si="23"/>
        <v>Row 231 - If ‘TEU type’ is ‘TEU’ then ‘TEU Id’ is required</v>
      </c>
      <c r="L738" t="s">
        <v>1391</v>
      </c>
    </row>
    <row r="739" spans="7:12" x14ac:dyDescent="0.25">
      <c r="G739" t="b">
        <f>IF(OR(INDEX(IHZ_HAZ_UNITTYPE,232,1)="TEU",),INDEX(IHZ_HAZ_TEUID,232,1)&lt;&gt;"",TRUE)</f>
        <v>1</v>
      </c>
      <c r="H739" t="str">
        <f t="shared" si="22"/>
        <v>Row 232 - If ‘TEU type’ is ‘TEU’ then ‘TEU Id’ is required</v>
      </c>
      <c r="I739" t="s">
        <v>1391</v>
      </c>
      <c r="J739" t="b">
        <f>IF(OR(INDEX(OHZ_HAZ_UNITTYPE,232,1)="TEU",),INDEX(OHZ_HAZ_TEUID,232,1)&lt;&gt;"",TRUE)</f>
        <v>1</v>
      </c>
      <c r="K739" t="str">
        <f t="shared" si="23"/>
        <v>Row 232 - If ‘TEU type’ is ‘TEU’ then ‘TEU Id’ is required</v>
      </c>
      <c r="L739" t="s">
        <v>1391</v>
      </c>
    </row>
    <row r="740" spans="7:12" x14ac:dyDescent="0.25">
      <c r="G740" t="b">
        <f>IF(OR(INDEX(IHZ_HAZ_UNITTYPE,233,1)="TEU",),INDEX(IHZ_HAZ_TEUID,233,1)&lt;&gt;"",TRUE)</f>
        <v>1</v>
      </c>
      <c r="H740" t="str">
        <f t="shared" si="22"/>
        <v>Row 233 - If ‘TEU type’ is ‘TEU’ then ‘TEU Id’ is required</v>
      </c>
      <c r="I740" t="s">
        <v>1391</v>
      </c>
      <c r="J740" t="b">
        <f>IF(OR(INDEX(OHZ_HAZ_UNITTYPE,233,1)="TEU",),INDEX(OHZ_HAZ_TEUID,233,1)&lt;&gt;"",TRUE)</f>
        <v>1</v>
      </c>
      <c r="K740" t="str">
        <f t="shared" si="23"/>
        <v>Row 233 - If ‘TEU type’ is ‘TEU’ then ‘TEU Id’ is required</v>
      </c>
      <c r="L740" t="s">
        <v>1391</v>
      </c>
    </row>
    <row r="741" spans="7:12" x14ac:dyDescent="0.25">
      <c r="G741" t="b">
        <f>IF(OR(INDEX(IHZ_HAZ_UNITTYPE,234,1)="TEU",),INDEX(IHZ_HAZ_TEUID,234,1)&lt;&gt;"",TRUE)</f>
        <v>1</v>
      </c>
      <c r="H741" t="str">
        <f t="shared" si="22"/>
        <v>Row 234 - If ‘TEU type’ is ‘TEU’ then ‘TEU Id’ is required</v>
      </c>
      <c r="I741" t="s">
        <v>1391</v>
      </c>
      <c r="J741" t="b">
        <f>IF(OR(INDEX(OHZ_HAZ_UNITTYPE,234,1)="TEU",),INDEX(OHZ_HAZ_TEUID,234,1)&lt;&gt;"",TRUE)</f>
        <v>1</v>
      </c>
      <c r="K741" t="str">
        <f t="shared" si="23"/>
        <v>Row 234 - If ‘TEU type’ is ‘TEU’ then ‘TEU Id’ is required</v>
      </c>
      <c r="L741" t="s">
        <v>1391</v>
      </c>
    </row>
    <row r="742" spans="7:12" x14ac:dyDescent="0.25">
      <c r="G742" t="b">
        <f>IF(OR(INDEX(IHZ_HAZ_UNITTYPE,235,1)="TEU",),INDEX(IHZ_HAZ_TEUID,235,1)&lt;&gt;"",TRUE)</f>
        <v>1</v>
      </c>
      <c r="H742" t="str">
        <f t="shared" si="22"/>
        <v>Row 235 - If ‘TEU type’ is ‘TEU’ then ‘TEU Id’ is required</v>
      </c>
      <c r="I742" t="s">
        <v>1391</v>
      </c>
      <c r="J742" t="b">
        <f>IF(OR(INDEX(OHZ_HAZ_UNITTYPE,235,1)="TEU",),INDEX(OHZ_HAZ_TEUID,235,1)&lt;&gt;"",TRUE)</f>
        <v>1</v>
      </c>
      <c r="K742" t="str">
        <f t="shared" si="23"/>
        <v>Row 235 - If ‘TEU type’ is ‘TEU’ then ‘TEU Id’ is required</v>
      </c>
      <c r="L742" t="s">
        <v>1391</v>
      </c>
    </row>
    <row r="743" spans="7:12" x14ac:dyDescent="0.25">
      <c r="G743" t="b">
        <f>IF(OR(INDEX(IHZ_HAZ_UNITTYPE,236,1)="TEU",),INDEX(IHZ_HAZ_TEUID,236,1)&lt;&gt;"",TRUE)</f>
        <v>1</v>
      </c>
      <c r="H743" t="str">
        <f t="shared" si="22"/>
        <v>Row 236 - If ‘TEU type’ is ‘TEU’ then ‘TEU Id’ is required</v>
      </c>
      <c r="I743" t="s">
        <v>1391</v>
      </c>
      <c r="J743" t="b">
        <f>IF(OR(INDEX(OHZ_HAZ_UNITTYPE,236,1)="TEU",),INDEX(OHZ_HAZ_TEUID,236,1)&lt;&gt;"",TRUE)</f>
        <v>1</v>
      </c>
      <c r="K743" t="str">
        <f t="shared" si="23"/>
        <v>Row 236 - If ‘TEU type’ is ‘TEU’ then ‘TEU Id’ is required</v>
      </c>
      <c r="L743" t="s">
        <v>1391</v>
      </c>
    </row>
    <row r="744" spans="7:12" x14ac:dyDescent="0.25">
      <c r="G744" t="b">
        <f>IF(OR(INDEX(IHZ_HAZ_UNITTYPE,237,1)="TEU",),INDEX(IHZ_HAZ_TEUID,237,1)&lt;&gt;"",TRUE)</f>
        <v>1</v>
      </c>
      <c r="H744" t="str">
        <f t="shared" si="22"/>
        <v>Row 237 - If ‘TEU type’ is ‘TEU’ then ‘TEU Id’ is required</v>
      </c>
      <c r="I744" t="s">
        <v>1391</v>
      </c>
      <c r="J744" t="b">
        <f>IF(OR(INDEX(OHZ_HAZ_UNITTYPE,237,1)="TEU",),INDEX(OHZ_HAZ_TEUID,237,1)&lt;&gt;"",TRUE)</f>
        <v>1</v>
      </c>
      <c r="K744" t="str">
        <f t="shared" si="23"/>
        <v>Row 237 - If ‘TEU type’ is ‘TEU’ then ‘TEU Id’ is required</v>
      </c>
      <c r="L744" t="s">
        <v>1391</v>
      </c>
    </row>
    <row r="745" spans="7:12" x14ac:dyDescent="0.25">
      <c r="G745" t="b">
        <f>IF(OR(INDEX(IHZ_HAZ_UNITTYPE,238,1)="TEU",),INDEX(IHZ_HAZ_TEUID,238,1)&lt;&gt;"",TRUE)</f>
        <v>1</v>
      </c>
      <c r="H745" t="str">
        <f t="shared" si="22"/>
        <v>Row 238 - If ‘TEU type’ is ‘TEU’ then ‘TEU Id’ is required</v>
      </c>
      <c r="I745" t="s">
        <v>1391</v>
      </c>
      <c r="J745" t="b">
        <f>IF(OR(INDEX(OHZ_HAZ_UNITTYPE,238,1)="TEU",),INDEX(OHZ_HAZ_TEUID,238,1)&lt;&gt;"",TRUE)</f>
        <v>1</v>
      </c>
      <c r="K745" t="str">
        <f t="shared" si="23"/>
        <v>Row 238 - If ‘TEU type’ is ‘TEU’ then ‘TEU Id’ is required</v>
      </c>
      <c r="L745" t="s">
        <v>1391</v>
      </c>
    </row>
    <row r="746" spans="7:12" x14ac:dyDescent="0.25">
      <c r="G746" t="b">
        <f>IF(OR(INDEX(IHZ_HAZ_UNITTYPE,239,1)="TEU",),INDEX(IHZ_HAZ_TEUID,239,1)&lt;&gt;"",TRUE)</f>
        <v>1</v>
      </c>
      <c r="H746" t="str">
        <f t="shared" si="22"/>
        <v>Row 239 - If ‘TEU type’ is ‘TEU’ then ‘TEU Id’ is required</v>
      </c>
      <c r="I746" t="s">
        <v>1391</v>
      </c>
      <c r="J746" t="b">
        <f>IF(OR(INDEX(OHZ_HAZ_UNITTYPE,239,1)="TEU",),INDEX(OHZ_HAZ_TEUID,239,1)&lt;&gt;"",TRUE)</f>
        <v>1</v>
      </c>
      <c r="K746" t="str">
        <f t="shared" si="23"/>
        <v>Row 239 - If ‘TEU type’ is ‘TEU’ then ‘TEU Id’ is required</v>
      </c>
      <c r="L746" t="s">
        <v>1391</v>
      </c>
    </row>
    <row r="747" spans="7:12" x14ac:dyDescent="0.25">
      <c r="G747" t="b">
        <f>IF(OR(INDEX(IHZ_HAZ_UNITTYPE,240,1)="TEU",),INDEX(IHZ_HAZ_TEUID,240,1)&lt;&gt;"",TRUE)</f>
        <v>1</v>
      </c>
      <c r="H747" t="str">
        <f t="shared" si="22"/>
        <v>Row 240 - If ‘TEU type’ is ‘TEU’ then ‘TEU Id’ is required</v>
      </c>
      <c r="I747" t="s">
        <v>1391</v>
      </c>
      <c r="J747" t="b">
        <f>IF(OR(INDEX(OHZ_HAZ_UNITTYPE,240,1)="TEU",),INDEX(OHZ_HAZ_TEUID,240,1)&lt;&gt;"",TRUE)</f>
        <v>1</v>
      </c>
      <c r="K747" t="str">
        <f t="shared" si="23"/>
        <v>Row 240 - If ‘TEU type’ is ‘TEU’ then ‘TEU Id’ is required</v>
      </c>
      <c r="L747" t="s">
        <v>1391</v>
      </c>
    </row>
    <row r="748" spans="7:12" x14ac:dyDescent="0.25">
      <c r="G748" t="b">
        <f>IF(OR(INDEX(IHZ_HAZ_UNITTYPE,241,1)="TEU",),INDEX(IHZ_HAZ_TEUID,241,1)&lt;&gt;"",TRUE)</f>
        <v>1</v>
      </c>
      <c r="H748" t="str">
        <f t="shared" si="22"/>
        <v>Row 241 - If ‘TEU type’ is ‘TEU’ then ‘TEU Id’ is required</v>
      </c>
      <c r="I748" t="s">
        <v>1391</v>
      </c>
      <c r="J748" t="b">
        <f>IF(OR(INDEX(OHZ_HAZ_UNITTYPE,241,1)="TEU",),INDEX(OHZ_HAZ_TEUID,241,1)&lt;&gt;"",TRUE)</f>
        <v>1</v>
      </c>
      <c r="K748" t="str">
        <f t="shared" si="23"/>
        <v>Row 241 - If ‘TEU type’ is ‘TEU’ then ‘TEU Id’ is required</v>
      </c>
      <c r="L748" t="s">
        <v>1391</v>
      </c>
    </row>
    <row r="749" spans="7:12" x14ac:dyDescent="0.25">
      <c r="G749" t="b">
        <f>IF(OR(INDEX(IHZ_HAZ_UNITTYPE,242,1)="TEU",),INDEX(IHZ_HAZ_TEUID,242,1)&lt;&gt;"",TRUE)</f>
        <v>1</v>
      </c>
      <c r="H749" t="str">
        <f t="shared" si="22"/>
        <v>Row 242 - If ‘TEU type’ is ‘TEU’ then ‘TEU Id’ is required</v>
      </c>
      <c r="I749" t="s">
        <v>1391</v>
      </c>
      <c r="J749" t="b">
        <f>IF(OR(INDEX(OHZ_HAZ_UNITTYPE,242,1)="TEU",),INDEX(OHZ_HAZ_TEUID,242,1)&lt;&gt;"",TRUE)</f>
        <v>1</v>
      </c>
      <c r="K749" t="str">
        <f t="shared" si="23"/>
        <v>Row 242 - If ‘TEU type’ is ‘TEU’ then ‘TEU Id’ is required</v>
      </c>
      <c r="L749" t="s">
        <v>1391</v>
      </c>
    </row>
    <row r="750" spans="7:12" x14ac:dyDescent="0.25">
      <c r="G750" t="b">
        <f>IF(OR(INDEX(IHZ_HAZ_UNITTYPE,243,1)="TEU",),INDEX(IHZ_HAZ_TEUID,243,1)&lt;&gt;"",TRUE)</f>
        <v>1</v>
      </c>
      <c r="H750" t="str">
        <f t="shared" si="22"/>
        <v>Row 243 - If ‘TEU type’ is ‘TEU’ then ‘TEU Id’ is required</v>
      </c>
      <c r="I750" t="s">
        <v>1391</v>
      </c>
      <c r="J750" t="b">
        <f>IF(OR(INDEX(OHZ_HAZ_UNITTYPE,243,1)="TEU",),INDEX(OHZ_HAZ_TEUID,243,1)&lt;&gt;"",TRUE)</f>
        <v>1</v>
      </c>
      <c r="K750" t="str">
        <f t="shared" si="23"/>
        <v>Row 243 - If ‘TEU type’ is ‘TEU’ then ‘TEU Id’ is required</v>
      </c>
      <c r="L750" t="s">
        <v>1391</v>
      </c>
    </row>
    <row r="751" spans="7:12" x14ac:dyDescent="0.25">
      <c r="G751" t="b">
        <f>IF(OR(INDEX(IHZ_HAZ_UNITTYPE,244,1)="TEU",),INDEX(IHZ_HAZ_TEUID,244,1)&lt;&gt;"",TRUE)</f>
        <v>1</v>
      </c>
      <c r="H751" t="str">
        <f t="shared" si="22"/>
        <v>Row 244 - If ‘TEU type’ is ‘TEU’ then ‘TEU Id’ is required</v>
      </c>
      <c r="I751" t="s">
        <v>1391</v>
      </c>
      <c r="J751" t="b">
        <f>IF(OR(INDEX(OHZ_HAZ_UNITTYPE,244,1)="TEU",),INDEX(OHZ_HAZ_TEUID,244,1)&lt;&gt;"",TRUE)</f>
        <v>1</v>
      </c>
      <c r="K751" t="str">
        <f t="shared" si="23"/>
        <v>Row 244 - If ‘TEU type’ is ‘TEU’ then ‘TEU Id’ is required</v>
      </c>
      <c r="L751" t="s">
        <v>1391</v>
      </c>
    </row>
    <row r="752" spans="7:12" x14ac:dyDescent="0.25">
      <c r="G752" t="b">
        <f>IF(OR(INDEX(IHZ_HAZ_UNITTYPE,245,1)="TEU",),INDEX(IHZ_HAZ_TEUID,245,1)&lt;&gt;"",TRUE)</f>
        <v>1</v>
      </c>
      <c r="H752" t="str">
        <f t="shared" si="22"/>
        <v>Row 245 - If ‘TEU type’ is ‘TEU’ then ‘TEU Id’ is required</v>
      </c>
      <c r="I752" t="s">
        <v>1391</v>
      </c>
      <c r="J752" t="b">
        <f>IF(OR(INDEX(OHZ_HAZ_UNITTYPE,245,1)="TEU",),INDEX(OHZ_HAZ_TEUID,245,1)&lt;&gt;"",TRUE)</f>
        <v>1</v>
      </c>
      <c r="K752" t="str">
        <f t="shared" si="23"/>
        <v>Row 245 - If ‘TEU type’ is ‘TEU’ then ‘TEU Id’ is required</v>
      </c>
      <c r="L752" t="s">
        <v>1391</v>
      </c>
    </row>
    <row r="753" spans="7:12" x14ac:dyDescent="0.25">
      <c r="G753" t="b">
        <f>IF(OR(INDEX(IHZ_HAZ_UNITTYPE,246,1)="TEU",),INDEX(IHZ_HAZ_TEUID,246,1)&lt;&gt;"",TRUE)</f>
        <v>1</v>
      </c>
      <c r="H753" t="str">
        <f t="shared" si="22"/>
        <v>Row 246 - If ‘TEU type’ is ‘TEU’ then ‘TEU Id’ is required</v>
      </c>
      <c r="I753" t="s">
        <v>1391</v>
      </c>
      <c r="J753" t="b">
        <f>IF(OR(INDEX(OHZ_HAZ_UNITTYPE,246,1)="TEU",),INDEX(OHZ_HAZ_TEUID,246,1)&lt;&gt;"",TRUE)</f>
        <v>1</v>
      </c>
      <c r="K753" t="str">
        <f t="shared" si="23"/>
        <v>Row 246 - If ‘TEU type’ is ‘TEU’ then ‘TEU Id’ is required</v>
      </c>
      <c r="L753" t="s">
        <v>1391</v>
      </c>
    </row>
    <row r="754" spans="7:12" x14ac:dyDescent="0.25">
      <c r="G754" t="b">
        <f>IF(OR(INDEX(IHZ_HAZ_UNITTYPE,247,1)="TEU",),INDEX(IHZ_HAZ_TEUID,247,1)&lt;&gt;"",TRUE)</f>
        <v>1</v>
      </c>
      <c r="H754" t="str">
        <f t="shared" si="22"/>
        <v>Row 247 - If ‘TEU type’ is ‘TEU’ then ‘TEU Id’ is required</v>
      </c>
      <c r="I754" t="s">
        <v>1391</v>
      </c>
      <c r="J754" t="b">
        <f>IF(OR(INDEX(OHZ_HAZ_UNITTYPE,247,1)="TEU",),INDEX(OHZ_HAZ_TEUID,247,1)&lt;&gt;"",TRUE)</f>
        <v>1</v>
      </c>
      <c r="K754" t="str">
        <f t="shared" si="23"/>
        <v>Row 247 - If ‘TEU type’ is ‘TEU’ then ‘TEU Id’ is required</v>
      </c>
      <c r="L754" t="s">
        <v>1391</v>
      </c>
    </row>
    <row r="755" spans="7:12" x14ac:dyDescent="0.25">
      <c r="G755" t="b">
        <f>IF(OR(INDEX(IHZ_HAZ_UNITTYPE,248,1)="TEU",),INDEX(IHZ_HAZ_TEUID,248,1)&lt;&gt;"",TRUE)</f>
        <v>1</v>
      </c>
      <c r="H755" t="str">
        <f t="shared" si="22"/>
        <v>Row 248 - If ‘TEU type’ is ‘TEU’ then ‘TEU Id’ is required</v>
      </c>
      <c r="I755" t="s">
        <v>1391</v>
      </c>
      <c r="J755" t="b">
        <f>IF(OR(INDEX(OHZ_HAZ_UNITTYPE,248,1)="TEU",),INDEX(OHZ_HAZ_TEUID,248,1)&lt;&gt;"",TRUE)</f>
        <v>1</v>
      </c>
      <c r="K755" t="str">
        <f t="shared" si="23"/>
        <v>Row 248 - If ‘TEU type’ is ‘TEU’ then ‘TEU Id’ is required</v>
      </c>
      <c r="L755" t="s">
        <v>1391</v>
      </c>
    </row>
    <row r="756" spans="7:12" x14ac:dyDescent="0.25">
      <c r="G756" t="b">
        <f>IF(OR(INDEX(IHZ_HAZ_UNITTYPE,249,1)="TEU",),INDEX(IHZ_HAZ_TEUID,249,1)&lt;&gt;"",TRUE)</f>
        <v>1</v>
      </c>
      <c r="H756" t="str">
        <f t="shared" si="22"/>
        <v>Row 249 - If ‘TEU type’ is ‘TEU’ then ‘TEU Id’ is required</v>
      </c>
      <c r="I756" t="s">
        <v>1391</v>
      </c>
      <c r="J756" t="b">
        <f>IF(OR(INDEX(OHZ_HAZ_UNITTYPE,249,1)="TEU",),INDEX(OHZ_HAZ_TEUID,249,1)&lt;&gt;"",TRUE)</f>
        <v>1</v>
      </c>
      <c r="K756" t="str">
        <f t="shared" si="23"/>
        <v>Row 249 - If ‘TEU type’ is ‘TEU’ then ‘TEU Id’ is required</v>
      </c>
      <c r="L756" t="s">
        <v>1391</v>
      </c>
    </row>
    <row r="757" spans="7:12" x14ac:dyDescent="0.25">
      <c r="G757" t="b">
        <f>IF(OR(INDEX(IHZ_HAZ_UNITTYPE,250,1)="TEU",),INDEX(IHZ_HAZ_TEUID,250,1)&lt;&gt;"",TRUE)</f>
        <v>1</v>
      </c>
      <c r="H757" t="str">
        <f t="shared" si="22"/>
        <v>Row 250 - If ‘TEU type’ is ‘TEU’ then ‘TEU Id’ is required</v>
      </c>
      <c r="I757" t="s">
        <v>1391</v>
      </c>
      <c r="J757" t="b">
        <f>IF(OR(INDEX(OHZ_HAZ_UNITTYPE,250,1)="TEU",),INDEX(OHZ_HAZ_TEUID,250,1)&lt;&gt;"",TRUE)</f>
        <v>1</v>
      </c>
      <c r="K757" t="str">
        <f t="shared" si="23"/>
        <v>Row 250 - If ‘TEU type’ is ‘TEU’ then ‘TEU Id’ is required</v>
      </c>
      <c r="L757" t="s">
        <v>1391</v>
      </c>
    </row>
    <row r="758" spans="7:12" x14ac:dyDescent="0.25">
      <c r="G758" t="b">
        <f>IF(OR(INDEX(IHZ_HAZ_UNITTYPE,1,1)&lt;&gt;"",),IF(OR(INDEX(IHZ_HAZ_LOCATION,1,1)="",INDEX(IHZ_HAZ_AMOUNT,1,1)="",),FALSE,TRUE),TRUE)</f>
        <v>1</v>
      </c>
      <c r="H758" t="str">
        <f>T1&amp;$V$4</f>
        <v>Row 1 - For a ‘Transport unit’ both ‘Location on board’ and ‘Amount’ are required</v>
      </c>
      <c r="I758" t="s">
        <v>1391</v>
      </c>
      <c r="J758" t="b">
        <f>IF(OR(INDEX(OHZ_HAZ_UNITTYPE,1,1)&lt;&gt;"",),IF(OR(INDEX(OHZ_HAZ_LOCATION,1,1)="",INDEX(OHZ_HAZ_AMOUNT,1,1)="",),FALSE,TRUE),TRUE)</f>
        <v>1</v>
      </c>
      <c r="K758" t="str">
        <f>T1&amp;$V$4</f>
        <v>Row 1 - For a ‘Transport unit’ both ‘Location on board’ and ‘Amount’ are required</v>
      </c>
      <c r="L758" t="s">
        <v>1391</v>
      </c>
    </row>
    <row r="759" spans="7:12" x14ac:dyDescent="0.25">
      <c r="G759" t="b">
        <f>IF(OR(INDEX(IHZ_HAZ_UNITTYPE,2,1)&lt;&gt;"",),IF(OR(INDEX(IHZ_HAZ_LOCATION,2,1)="",INDEX(IHZ_HAZ_AMOUNT,2,1)="",),FALSE,TRUE),TRUE)</f>
        <v>1</v>
      </c>
      <c r="H759" t="str">
        <f t="shared" ref="H759:H822" si="24">T2&amp;$V$4</f>
        <v>Row 2 - For a ‘Transport unit’ both ‘Location on board’ and ‘Amount’ are required</v>
      </c>
      <c r="I759" t="s">
        <v>1391</v>
      </c>
      <c r="J759" t="b">
        <f>IF(OR(INDEX(OHZ_HAZ_UNITTYPE,2,1)&lt;&gt;"",),IF(OR(INDEX(OHZ_HAZ_LOCATION,2,1)="",INDEX(OHZ_HAZ_AMOUNT,2,1)="",),FALSE,TRUE),TRUE)</f>
        <v>1</v>
      </c>
      <c r="K759" t="str">
        <f t="shared" ref="K759:K822" si="25">T2&amp;$V$4</f>
        <v>Row 2 - For a ‘Transport unit’ both ‘Location on board’ and ‘Amount’ are required</v>
      </c>
      <c r="L759" t="s">
        <v>1391</v>
      </c>
    </row>
    <row r="760" spans="7:12" x14ac:dyDescent="0.25">
      <c r="G760" t="b">
        <f>IF(OR(INDEX(IHZ_HAZ_UNITTYPE,3,1)&lt;&gt;"",),IF(OR(INDEX(IHZ_HAZ_LOCATION,3,1)="",INDEX(IHZ_HAZ_AMOUNT,3,1)="",),FALSE,TRUE),TRUE)</f>
        <v>1</v>
      </c>
      <c r="H760" t="str">
        <f t="shared" si="24"/>
        <v>Row 3 - For a ‘Transport unit’ both ‘Location on board’ and ‘Amount’ are required</v>
      </c>
      <c r="I760" t="s">
        <v>1391</v>
      </c>
      <c r="J760" t="b">
        <f>IF(OR(INDEX(OHZ_HAZ_UNITTYPE,3,1)&lt;&gt;"",),IF(OR(INDEX(OHZ_HAZ_LOCATION,3,1)="",INDEX(OHZ_HAZ_AMOUNT,3,1)="",),FALSE,TRUE),TRUE)</f>
        <v>1</v>
      </c>
      <c r="K760" t="str">
        <f t="shared" si="25"/>
        <v>Row 3 - For a ‘Transport unit’ both ‘Location on board’ and ‘Amount’ are required</v>
      </c>
      <c r="L760" t="s">
        <v>1391</v>
      </c>
    </row>
    <row r="761" spans="7:12" x14ac:dyDescent="0.25">
      <c r="G761" t="b">
        <f>IF(OR(INDEX(IHZ_HAZ_UNITTYPE,4,1)&lt;&gt;"",),IF(OR(INDEX(IHZ_HAZ_LOCATION,4,1)="",INDEX(IHZ_HAZ_AMOUNT,4,1)="",),FALSE,TRUE),TRUE)</f>
        <v>1</v>
      </c>
      <c r="H761" t="str">
        <f t="shared" si="24"/>
        <v>Row 4 - For a ‘Transport unit’ both ‘Location on board’ and ‘Amount’ are required</v>
      </c>
      <c r="I761" t="s">
        <v>1391</v>
      </c>
      <c r="J761" t="b">
        <f>IF(OR(INDEX(OHZ_HAZ_UNITTYPE,4,1)&lt;&gt;"",),IF(OR(INDEX(OHZ_HAZ_LOCATION,4,1)="",INDEX(OHZ_HAZ_AMOUNT,4,1)="",),FALSE,TRUE),TRUE)</f>
        <v>1</v>
      </c>
      <c r="K761" t="str">
        <f t="shared" si="25"/>
        <v>Row 4 - For a ‘Transport unit’ both ‘Location on board’ and ‘Amount’ are required</v>
      </c>
      <c r="L761" t="s">
        <v>1391</v>
      </c>
    </row>
    <row r="762" spans="7:12" x14ac:dyDescent="0.25">
      <c r="G762" t="b">
        <f>IF(OR(INDEX(IHZ_HAZ_UNITTYPE,5,1)&lt;&gt;"",),IF(OR(INDEX(IHZ_HAZ_LOCATION,5,1)="",INDEX(IHZ_HAZ_AMOUNT,5,1)="",),FALSE,TRUE),TRUE)</f>
        <v>1</v>
      </c>
      <c r="H762" t="str">
        <f t="shared" si="24"/>
        <v>Row 5 - For a ‘Transport unit’ both ‘Location on board’ and ‘Amount’ are required</v>
      </c>
      <c r="I762" t="s">
        <v>1391</v>
      </c>
      <c r="J762" t="b">
        <f>IF(OR(INDEX(OHZ_HAZ_UNITTYPE,5,1)&lt;&gt;"",),IF(OR(INDEX(OHZ_HAZ_LOCATION,5,1)="",INDEX(OHZ_HAZ_AMOUNT,5,1)="",),FALSE,TRUE),TRUE)</f>
        <v>1</v>
      </c>
      <c r="K762" t="str">
        <f t="shared" si="25"/>
        <v>Row 5 - For a ‘Transport unit’ both ‘Location on board’ and ‘Amount’ are required</v>
      </c>
      <c r="L762" t="s">
        <v>1391</v>
      </c>
    </row>
    <row r="763" spans="7:12" x14ac:dyDescent="0.25">
      <c r="G763" t="b">
        <f>IF(OR(INDEX(IHZ_HAZ_UNITTYPE,6,1)&lt;&gt;"",),IF(OR(INDEX(IHZ_HAZ_LOCATION,6,1)="",INDEX(IHZ_HAZ_AMOUNT,6,1)="",),FALSE,TRUE),TRUE)</f>
        <v>1</v>
      </c>
      <c r="H763" t="str">
        <f t="shared" si="24"/>
        <v>Row 6 - For a ‘Transport unit’ both ‘Location on board’ and ‘Amount’ are required</v>
      </c>
      <c r="I763" t="s">
        <v>1391</v>
      </c>
      <c r="J763" t="b">
        <f>IF(OR(INDEX(OHZ_HAZ_UNITTYPE,6,1)&lt;&gt;"",),IF(OR(INDEX(OHZ_HAZ_LOCATION,6,1)="",INDEX(OHZ_HAZ_AMOUNT,6,1)="",),FALSE,TRUE),TRUE)</f>
        <v>1</v>
      </c>
      <c r="K763" t="str">
        <f t="shared" si="25"/>
        <v>Row 6 - For a ‘Transport unit’ both ‘Location on board’ and ‘Amount’ are required</v>
      </c>
      <c r="L763" t="s">
        <v>1391</v>
      </c>
    </row>
    <row r="764" spans="7:12" x14ac:dyDescent="0.25">
      <c r="G764" t="b">
        <f>IF(OR(INDEX(IHZ_HAZ_UNITTYPE,7,1)&lt;&gt;"",),IF(OR(INDEX(IHZ_HAZ_LOCATION,7,1)="",INDEX(IHZ_HAZ_AMOUNT,7,1)="",),FALSE,TRUE),TRUE)</f>
        <v>1</v>
      </c>
      <c r="H764" t="str">
        <f t="shared" si="24"/>
        <v>Row 7 - For a ‘Transport unit’ both ‘Location on board’ and ‘Amount’ are required</v>
      </c>
      <c r="I764" t="s">
        <v>1391</v>
      </c>
      <c r="J764" t="b">
        <f>IF(OR(INDEX(OHZ_HAZ_UNITTYPE,7,1)&lt;&gt;"",),IF(OR(INDEX(OHZ_HAZ_LOCATION,7,1)="",INDEX(OHZ_HAZ_AMOUNT,7,1)="",),FALSE,TRUE),TRUE)</f>
        <v>1</v>
      </c>
      <c r="K764" t="str">
        <f t="shared" si="25"/>
        <v>Row 7 - For a ‘Transport unit’ both ‘Location on board’ and ‘Amount’ are required</v>
      </c>
      <c r="L764" t="s">
        <v>1391</v>
      </c>
    </row>
    <row r="765" spans="7:12" x14ac:dyDescent="0.25">
      <c r="G765" t="b">
        <f>IF(OR(INDEX(IHZ_HAZ_UNITTYPE,8,1)&lt;&gt;"",),IF(OR(INDEX(IHZ_HAZ_LOCATION,8,1)="",INDEX(IHZ_HAZ_AMOUNT,8,1)="",),FALSE,TRUE),TRUE)</f>
        <v>1</v>
      </c>
      <c r="H765" t="str">
        <f t="shared" si="24"/>
        <v>Row 8 - For a ‘Transport unit’ both ‘Location on board’ and ‘Amount’ are required</v>
      </c>
      <c r="I765" t="s">
        <v>1391</v>
      </c>
      <c r="J765" t="b">
        <f>IF(OR(INDEX(OHZ_HAZ_UNITTYPE,8,1)&lt;&gt;"",),IF(OR(INDEX(OHZ_HAZ_LOCATION,8,1)="",INDEX(OHZ_HAZ_AMOUNT,8,1)="",),FALSE,TRUE),TRUE)</f>
        <v>1</v>
      </c>
      <c r="K765" t="str">
        <f t="shared" si="25"/>
        <v>Row 8 - For a ‘Transport unit’ both ‘Location on board’ and ‘Amount’ are required</v>
      </c>
      <c r="L765" t="s">
        <v>1391</v>
      </c>
    </row>
    <row r="766" spans="7:12" x14ac:dyDescent="0.25">
      <c r="G766" t="b">
        <f>IF(OR(INDEX(IHZ_HAZ_UNITTYPE,9,1)&lt;&gt;"",),IF(OR(INDEX(IHZ_HAZ_LOCATION,9,1)="",INDEX(IHZ_HAZ_AMOUNT,9,1)="",),FALSE,TRUE),TRUE)</f>
        <v>1</v>
      </c>
      <c r="H766" t="str">
        <f t="shared" si="24"/>
        <v>Row 9 - For a ‘Transport unit’ both ‘Location on board’ and ‘Amount’ are required</v>
      </c>
      <c r="I766" t="s">
        <v>1391</v>
      </c>
      <c r="J766" t="b">
        <f>IF(OR(INDEX(OHZ_HAZ_UNITTYPE,9,1)&lt;&gt;"",),IF(OR(INDEX(OHZ_HAZ_LOCATION,9,1)="",INDEX(OHZ_HAZ_AMOUNT,9,1)="",),FALSE,TRUE),TRUE)</f>
        <v>1</v>
      </c>
      <c r="K766" t="str">
        <f t="shared" si="25"/>
        <v>Row 9 - For a ‘Transport unit’ both ‘Location on board’ and ‘Amount’ are required</v>
      </c>
      <c r="L766" t="s">
        <v>1391</v>
      </c>
    </row>
    <row r="767" spans="7:12" x14ac:dyDescent="0.25">
      <c r="G767" t="b">
        <f>IF(OR(INDEX(IHZ_HAZ_UNITTYPE,10,1)&lt;&gt;"",),IF(OR(INDEX(IHZ_HAZ_LOCATION,10,1)="",INDEX(IHZ_HAZ_AMOUNT,10,1)="",),FALSE,TRUE),TRUE)</f>
        <v>1</v>
      </c>
      <c r="H767" t="str">
        <f t="shared" si="24"/>
        <v>Row 10 - For a ‘Transport unit’ both ‘Location on board’ and ‘Amount’ are required</v>
      </c>
      <c r="I767" t="s">
        <v>1391</v>
      </c>
      <c r="J767" t="b">
        <f>IF(OR(INDEX(OHZ_HAZ_UNITTYPE,10,1)&lt;&gt;"",),IF(OR(INDEX(OHZ_HAZ_LOCATION,10,1)="",INDEX(OHZ_HAZ_AMOUNT,10,1)="",),FALSE,TRUE),TRUE)</f>
        <v>1</v>
      </c>
      <c r="K767" t="str">
        <f t="shared" si="25"/>
        <v>Row 10 - For a ‘Transport unit’ both ‘Location on board’ and ‘Amount’ are required</v>
      </c>
      <c r="L767" t="s">
        <v>1391</v>
      </c>
    </row>
    <row r="768" spans="7:12" x14ac:dyDescent="0.25">
      <c r="G768" t="b">
        <f>IF(OR(INDEX(IHZ_HAZ_UNITTYPE,11,1)&lt;&gt;"",),IF(OR(INDEX(IHZ_HAZ_LOCATION,11,1)="",INDEX(IHZ_HAZ_AMOUNT,11,1)="",),FALSE,TRUE),TRUE)</f>
        <v>1</v>
      </c>
      <c r="H768" t="str">
        <f t="shared" si="24"/>
        <v>Row 11 - For a ‘Transport unit’ both ‘Location on board’ and ‘Amount’ are required</v>
      </c>
      <c r="I768" t="s">
        <v>1391</v>
      </c>
      <c r="J768" t="b">
        <f>IF(OR(INDEX(OHZ_HAZ_UNITTYPE,11,1)&lt;&gt;"",),IF(OR(INDEX(OHZ_HAZ_LOCATION,11,1)="",INDEX(OHZ_HAZ_AMOUNT,11,1)="",),FALSE,TRUE),TRUE)</f>
        <v>1</v>
      </c>
      <c r="K768" t="str">
        <f t="shared" si="25"/>
        <v>Row 11 - For a ‘Transport unit’ both ‘Location on board’ and ‘Amount’ are required</v>
      </c>
      <c r="L768" t="s">
        <v>1391</v>
      </c>
    </row>
    <row r="769" spans="7:12" x14ac:dyDescent="0.25">
      <c r="G769" t="b">
        <f>IF(OR(INDEX(IHZ_HAZ_UNITTYPE,12,1)&lt;&gt;"",),IF(OR(INDEX(IHZ_HAZ_LOCATION,12,1)="",INDEX(IHZ_HAZ_AMOUNT,12,1)="",),FALSE,TRUE),TRUE)</f>
        <v>1</v>
      </c>
      <c r="H769" t="str">
        <f t="shared" si="24"/>
        <v>Row 12 - For a ‘Transport unit’ both ‘Location on board’ and ‘Amount’ are required</v>
      </c>
      <c r="I769" t="s">
        <v>1391</v>
      </c>
      <c r="J769" t="b">
        <f>IF(OR(INDEX(OHZ_HAZ_UNITTYPE,12,1)&lt;&gt;"",),IF(OR(INDEX(OHZ_HAZ_LOCATION,12,1)="",INDEX(OHZ_HAZ_AMOUNT,12,1)="",),FALSE,TRUE),TRUE)</f>
        <v>1</v>
      </c>
      <c r="K769" t="str">
        <f t="shared" si="25"/>
        <v>Row 12 - For a ‘Transport unit’ both ‘Location on board’ and ‘Amount’ are required</v>
      </c>
      <c r="L769" t="s">
        <v>1391</v>
      </c>
    </row>
    <row r="770" spans="7:12" x14ac:dyDescent="0.25">
      <c r="G770" t="b">
        <f>IF(OR(INDEX(IHZ_HAZ_UNITTYPE,13,1)&lt;&gt;"",),IF(OR(INDEX(IHZ_HAZ_LOCATION,13,1)="",INDEX(IHZ_HAZ_AMOUNT,13,1)="",),FALSE,TRUE),TRUE)</f>
        <v>1</v>
      </c>
      <c r="H770" t="str">
        <f t="shared" si="24"/>
        <v>Row 13 - For a ‘Transport unit’ both ‘Location on board’ and ‘Amount’ are required</v>
      </c>
      <c r="I770" t="s">
        <v>1391</v>
      </c>
      <c r="J770" t="b">
        <f>IF(OR(INDEX(OHZ_HAZ_UNITTYPE,13,1)&lt;&gt;"",),IF(OR(INDEX(OHZ_HAZ_LOCATION,13,1)="",INDEX(OHZ_HAZ_AMOUNT,13,1)="",),FALSE,TRUE),TRUE)</f>
        <v>1</v>
      </c>
      <c r="K770" t="str">
        <f t="shared" si="25"/>
        <v>Row 13 - For a ‘Transport unit’ both ‘Location on board’ and ‘Amount’ are required</v>
      </c>
      <c r="L770" t="s">
        <v>1391</v>
      </c>
    </row>
    <row r="771" spans="7:12" x14ac:dyDescent="0.25">
      <c r="G771" t="b">
        <f>IF(OR(INDEX(IHZ_HAZ_UNITTYPE,14,1)&lt;&gt;"",),IF(OR(INDEX(IHZ_HAZ_LOCATION,14,1)="",INDEX(IHZ_HAZ_AMOUNT,14,1)="",),FALSE,TRUE),TRUE)</f>
        <v>1</v>
      </c>
      <c r="H771" t="str">
        <f t="shared" si="24"/>
        <v>Row 14 - For a ‘Transport unit’ both ‘Location on board’ and ‘Amount’ are required</v>
      </c>
      <c r="I771" t="s">
        <v>1391</v>
      </c>
      <c r="J771" t="b">
        <f>IF(OR(INDEX(OHZ_HAZ_UNITTYPE,14,1)&lt;&gt;"",),IF(OR(INDEX(OHZ_HAZ_LOCATION,14,1)="",INDEX(OHZ_HAZ_AMOUNT,14,1)="",),FALSE,TRUE),TRUE)</f>
        <v>1</v>
      </c>
      <c r="K771" t="str">
        <f t="shared" si="25"/>
        <v>Row 14 - For a ‘Transport unit’ both ‘Location on board’ and ‘Amount’ are required</v>
      </c>
      <c r="L771" t="s">
        <v>1391</v>
      </c>
    </row>
    <row r="772" spans="7:12" x14ac:dyDescent="0.25">
      <c r="G772" t="b">
        <f>IF(OR(INDEX(IHZ_HAZ_UNITTYPE,15,1)&lt;&gt;"",),IF(OR(INDEX(IHZ_HAZ_LOCATION,15,1)="",INDEX(IHZ_HAZ_AMOUNT,15,1)="",),FALSE,TRUE),TRUE)</f>
        <v>1</v>
      </c>
      <c r="H772" t="str">
        <f t="shared" si="24"/>
        <v>Row 15 - For a ‘Transport unit’ both ‘Location on board’ and ‘Amount’ are required</v>
      </c>
      <c r="I772" t="s">
        <v>1391</v>
      </c>
      <c r="J772" t="b">
        <f>IF(OR(INDEX(OHZ_HAZ_UNITTYPE,15,1)&lt;&gt;"",),IF(OR(INDEX(OHZ_HAZ_LOCATION,15,1)="",INDEX(OHZ_HAZ_AMOUNT,15,1)="",),FALSE,TRUE),TRUE)</f>
        <v>1</v>
      </c>
      <c r="K772" t="str">
        <f t="shared" si="25"/>
        <v>Row 15 - For a ‘Transport unit’ both ‘Location on board’ and ‘Amount’ are required</v>
      </c>
      <c r="L772" t="s">
        <v>1391</v>
      </c>
    </row>
    <row r="773" spans="7:12" x14ac:dyDescent="0.25">
      <c r="G773" t="b">
        <f>IF(OR(INDEX(IHZ_HAZ_UNITTYPE,16,1)&lt;&gt;"",),IF(OR(INDEX(IHZ_HAZ_LOCATION,16,1)="",INDEX(IHZ_HAZ_AMOUNT,16,1)="",),FALSE,TRUE),TRUE)</f>
        <v>1</v>
      </c>
      <c r="H773" t="str">
        <f t="shared" si="24"/>
        <v>Row 16 - For a ‘Transport unit’ both ‘Location on board’ and ‘Amount’ are required</v>
      </c>
      <c r="I773" t="s">
        <v>1391</v>
      </c>
      <c r="J773" t="b">
        <f>IF(OR(INDEX(OHZ_HAZ_UNITTYPE,16,1)&lt;&gt;"",),IF(OR(INDEX(OHZ_HAZ_LOCATION,16,1)="",INDEX(OHZ_HAZ_AMOUNT,16,1)="",),FALSE,TRUE),TRUE)</f>
        <v>1</v>
      </c>
      <c r="K773" t="str">
        <f t="shared" si="25"/>
        <v>Row 16 - For a ‘Transport unit’ both ‘Location on board’ and ‘Amount’ are required</v>
      </c>
      <c r="L773" t="s">
        <v>1391</v>
      </c>
    </row>
    <row r="774" spans="7:12" x14ac:dyDescent="0.25">
      <c r="G774" t="b">
        <f>IF(OR(INDEX(IHZ_HAZ_UNITTYPE,17,1)&lt;&gt;"",),IF(OR(INDEX(IHZ_HAZ_LOCATION,17,1)="",INDEX(IHZ_HAZ_AMOUNT,17,1)="",),FALSE,TRUE),TRUE)</f>
        <v>1</v>
      </c>
      <c r="H774" t="str">
        <f t="shared" si="24"/>
        <v>Row 17 - For a ‘Transport unit’ both ‘Location on board’ and ‘Amount’ are required</v>
      </c>
      <c r="I774" t="s">
        <v>1391</v>
      </c>
      <c r="J774" t="b">
        <f>IF(OR(INDEX(OHZ_HAZ_UNITTYPE,17,1)&lt;&gt;"",),IF(OR(INDEX(OHZ_HAZ_LOCATION,17,1)="",INDEX(OHZ_HAZ_AMOUNT,17,1)="",),FALSE,TRUE),TRUE)</f>
        <v>1</v>
      </c>
      <c r="K774" t="str">
        <f t="shared" si="25"/>
        <v>Row 17 - For a ‘Transport unit’ both ‘Location on board’ and ‘Amount’ are required</v>
      </c>
      <c r="L774" t="s">
        <v>1391</v>
      </c>
    </row>
    <row r="775" spans="7:12" x14ac:dyDescent="0.25">
      <c r="G775" t="b">
        <f>IF(OR(INDEX(IHZ_HAZ_UNITTYPE,18,1)&lt;&gt;"",),IF(OR(INDEX(IHZ_HAZ_LOCATION,18,1)="",INDEX(IHZ_HAZ_AMOUNT,18,1)="",),FALSE,TRUE),TRUE)</f>
        <v>1</v>
      </c>
      <c r="H775" t="str">
        <f t="shared" si="24"/>
        <v>Row 18 - For a ‘Transport unit’ both ‘Location on board’ and ‘Amount’ are required</v>
      </c>
      <c r="I775" t="s">
        <v>1391</v>
      </c>
      <c r="J775" t="b">
        <f>IF(OR(INDEX(OHZ_HAZ_UNITTYPE,18,1)&lt;&gt;"",),IF(OR(INDEX(OHZ_HAZ_LOCATION,18,1)="",INDEX(OHZ_HAZ_AMOUNT,18,1)="",),FALSE,TRUE),TRUE)</f>
        <v>1</v>
      </c>
      <c r="K775" t="str">
        <f t="shared" si="25"/>
        <v>Row 18 - For a ‘Transport unit’ both ‘Location on board’ and ‘Amount’ are required</v>
      </c>
      <c r="L775" t="s">
        <v>1391</v>
      </c>
    </row>
    <row r="776" spans="7:12" x14ac:dyDescent="0.25">
      <c r="G776" t="b">
        <f>IF(OR(INDEX(IHZ_HAZ_UNITTYPE,19,1)&lt;&gt;"",),IF(OR(INDEX(IHZ_HAZ_LOCATION,19,1)="",INDEX(IHZ_HAZ_AMOUNT,19,1)="",),FALSE,TRUE),TRUE)</f>
        <v>1</v>
      </c>
      <c r="H776" t="str">
        <f t="shared" si="24"/>
        <v>Row 19 - For a ‘Transport unit’ both ‘Location on board’ and ‘Amount’ are required</v>
      </c>
      <c r="I776" t="s">
        <v>1391</v>
      </c>
      <c r="J776" t="b">
        <f>IF(OR(INDEX(OHZ_HAZ_UNITTYPE,19,1)&lt;&gt;"",),IF(OR(INDEX(OHZ_HAZ_LOCATION,19,1)="",INDEX(OHZ_HAZ_AMOUNT,19,1)="",),FALSE,TRUE),TRUE)</f>
        <v>1</v>
      </c>
      <c r="K776" t="str">
        <f t="shared" si="25"/>
        <v>Row 19 - For a ‘Transport unit’ both ‘Location on board’ and ‘Amount’ are required</v>
      </c>
      <c r="L776" t="s">
        <v>1391</v>
      </c>
    </row>
    <row r="777" spans="7:12" x14ac:dyDescent="0.25">
      <c r="G777" t="b">
        <f>IF(OR(INDEX(IHZ_HAZ_UNITTYPE,20,1)&lt;&gt;"",),IF(OR(INDEX(IHZ_HAZ_LOCATION,20,1)="",INDEX(IHZ_HAZ_AMOUNT,20,1)="",),FALSE,TRUE),TRUE)</f>
        <v>1</v>
      </c>
      <c r="H777" t="str">
        <f t="shared" si="24"/>
        <v>Row 20 - For a ‘Transport unit’ both ‘Location on board’ and ‘Amount’ are required</v>
      </c>
      <c r="I777" t="s">
        <v>1391</v>
      </c>
      <c r="J777" t="b">
        <f>IF(OR(INDEX(OHZ_HAZ_UNITTYPE,20,1)&lt;&gt;"",),IF(OR(INDEX(OHZ_HAZ_LOCATION,20,1)="",INDEX(OHZ_HAZ_AMOUNT,20,1)="",),FALSE,TRUE),TRUE)</f>
        <v>1</v>
      </c>
      <c r="K777" t="str">
        <f t="shared" si="25"/>
        <v>Row 20 - For a ‘Transport unit’ both ‘Location on board’ and ‘Amount’ are required</v>
      </c>
      <c r="L777" t="s">
        <v>1391</v>
      </c>
    </row>
    <row r="778" spans="7:12" x14ac:dyDescent="0.25">
      <c r="G778" t="b">
        <f>IF(OR(INDEX(IHZ_HAZ_UNITTYPE,21,1)&lt;&gt;"",),IF(OR(INDEX(IHZ_HAZ_LOCATION,21,1)="",INDEX(IHZ_HAZ_AMOUNT,21,1)="",),FALSE,TRUE),TRUE)</f>
        <v>1</v>
      </c>
      <c r="H778" t="str">
        <f t="shared" si="24"/>
        <v>Row 21 - For a ‘Transport unit’ both ‘Location on board’ and ‘Amount’ are required</v>
      </c>
      <c r="I778" t="s">
        <v>1391</v>
      </c>
      <c r="J778" t="b">
        <f>IF(OR(INDEX(OHZ_HAZ_UNITTYPE,21,1)&lt;&gt;"",),IF(OR(INDEX(OHZ_HAZ_LOCATION,21,1)="",INDEX(OHZ_HAZ_AMOUNT,21,1)="",),FALSE,TRUE),TRUE)</f>
        <v>1</v>
      </c>
      <c r="K778" t="str">
        <f t="shared" si="25"/>
        <v>Row 21 - For a ‘Transport unit’ both ‘Location on board’ and ‘Amount’ are required</v>
      </c>
      <c r="L778" t="s">
        <v>1391</v>
      </c>
    </row>
    <row r="779" spans="7:12" x14ac:dyDescent="0.25">
      <c r="G779" t="b">
        <f>IF(OR(INDEX(IHZ_HAZ_UNITTYPE,22,1)&lt;&gt;"",),IF(OR(INDEX(IHZ_HAZ_LOCATION,22,1)="",INDEX(IHZ_HAZ_AMOUNT,22,1)="",),FALSE,TRUE),TRUE)</f>
        <v>1</v>
      </c>
      <c r="H779" t="str">
        <f t="shared" si="24"/>
        <v>Row 22 - For a ‘Transport unit’ both ‘Location on board’ and ‘Amount’ are required</v>
      </c>
      <c r="I779" t="s">
        <v>1391</v>
      </c>
      <c r="J779" t="b">
        <f>IF(OR(INDEX(OHZ_HAZ_UNITTYPE,22,1)&lt;&gt;"",),IF(OR(INDEX(OHZ_HAZ_LOCATION,22,1)="",INDEX(OHZ_HAZ_AMOUNT,22,1)="",),FALSE,TRUE),TRUE)</f>
        <v>1</v>
      </c>
      <c r="K779" t="str">
        <f t="shared" si="25"/>
        <v>Row 22 - For a ‘Transport unit’ both ‘Location on board’ and ‘Amount’ are required</v>
      </c>
      <c r="L779" t="s">
        <v>1391</v>
      </c>
    </row>
    <row r="780" spans="7:12" x14ac:dyDescent="0.25">
      <c r="G780" t="b">
        <f>IF(OR(INDEX(IHZ_HAZ_UNITTYPE,23,1)&lt;&gt;"",),IF(OR(INDEX(IHZ_HAZ_LOCATION,23,1)="",INDEX(IHZ_HAZ_AMOUNT,23,1)="",),FALSE,TRUE),TRUE)</f>
        <v>1</v>
      </c>
      <c r="H780" t="str">
        <f t="shared" si="24"/>
        <v>Row 23 - For a ‘Transport unit’ both ‘Location on board’ and ‘Amount’ are required</v>
      </c>
      <c r="I780" t="s">
        <v>1391</v>
      </c>
      <c r="J780" t="b">
        <f>IF(OR(INDEX(OHZ_HAZ_UNITTYPE,23,1)&lt;&gt;"",),IF(OR(INDEX(OHZ_HAZ_LOCATION,23,1)="",INDEX(OHZ_HAZ_AMOUNT,23,1)="",),FALSE,TRUE),TRUE)</f>
        <v>1</v>
      </c>
      <c r="K780" t="str">
        <f t="shared" si="25"/>
        <v>Row 23 - For a ‘Transport unit’ both ‘Location on board’ and ‘Amount’ are required</v>
      </c>
      <c r="L780" t="s">
        <v>1391</v>
      </c>
    </row>
    <row r="781" spans="7:12" x14ac:dyDescent="0.25">
      <c r="G781" t="b">
        <f>IF(OR(INDEX(IHZ_HAZ_UNITTYPE,24,1)&lt;&gt;"",),IF(OR(INDEX(IHZ_HAZ_LOCATION,24,1)="",INDEX(IHZ_HAZ_AMOUNT,24,1)="",),FALSE,TRUE),TRUE)</f>
        <v>1</v>
      </c>
      <c r="H781" t="str">
        <f t="shared" si="24"/>
        <v>Row 24 - For a ‘Transport unit’ both ‘Location on board’ and ‘Amount’ are required</v>
      </c>
      <c r="I781" t="s">
        <v>1391</v>
      </c>
      <c r="J781" t="b">
        <f>IF(OR(INDEX(OHZ_HAZ_UNITTYPE,24,1)&lt;&gt;"",),IF(OR(INDEX(OHZ_HAZ_LOCATION,24,1)="",INDEX(OHZ_HAZ_AMOUNT,24,1)="",),FALSE,TRUE),TRUE)</f>
        <v>1</v>
      </c>
      <c r="K781" t="str">
        <f t="shared" si="25"/>
        <v>Row 24 - For a ‘Transport unit’ both ‘Location on board’ and ‘Amount’ are required</v>
      </c>
      <c r="L781" t="s">
        <v>1391</v>
      </c>
    </row>
    <row r="782" spans="7:12" x14ac:dyDescent="0.25">
      <c r="G782" t="b">
        <f>IF(OR(INDEX(IHZ_HAZ_UNITTYPE,25,1)&lt;&gt;"",),IF(OR(INDEX(IHZ_HAZ_LOCATION,25,1)="",INDEX(IHZ_HAZ_AMOUNT,25,1)="",),FALSE,TRUE),TRUE)</f>
        <v>1</v>
      </c>
      <c r="H782" t="str">
        <f t="shared" si="24"/>
        <v>Row 25 - For a ‘Transport unit’ both ‘Location on board’ and ‘Amount’ are required</v>
      </c>
      <c r="I782" t="s">
        <v>1391</v>
      </c>
      <c r="J782" t="b">
        <f>IF(OR(INDEX(OHZ_HAZ_UNITTYPE,25,1)&lt;&gt;"",),IF(OR(INDEX(OHZ_HAZ_LOCATION,25,1)="",INDEX(OHZ_HAZ_AMOUNT,25,1)="",),FALSE,TRUE),TRUE)</f>
        <v>1</v>
      </c>
      <c r="K782" t="str">
        <f t="shared" si="25"/>
        <v>Row 25 - For a ‘Transport unit’ both ‘Location on board’ and ‘Amount’ are required</v>
      </c>
      <c r="L782" t="s">
        <v>1391</v>
      </c>
    </row>
    <row r="783" spans="7:12" x14ac:dyDescent="0.25">
      <c r="G783" t="b">
        <f>IF(OR(INDEX(IHZ_HAZ_UNITTYPE,26,1)&lt;&gt;"",),IF(OR(INDEX(IHZ_HAZ_LOCATION,26,1)="",INDEX(IHZ_HAZ_AMOUNT,26,1)="",),FALSE,TRUE),TRUE)</f>
        <v>1</v>
      </c>
      <c r="H783" t="str">
        <f t="shared" si="24"/>
        <v>Row 26 - For a ‘Transport unit’ both ‘Location on board’ and ‘Amount’ are required</v>
      </c>
      <c r="I783" t="s">
        <v>1391</v>
      </c>
      <c r="J783" t="b">
        <f>IF(OR(INDEX(OHZ_HAZ_UNITTYPE,26,1)&lt;&gt;"",),IF(OR(INDEX(OHZ_HAZ_LOCATION,26,1)="",INDEX(OHZ_HAZ_AMOUNT,26,1)="",),FALSE,TRUE),TRUE)</f>
        <v>1</v>
      </c>
      <c r="K783" t="str">
        <f t="shared" si="25"/>
        <v>Row 26 - For a ‘Transport unit’ both ‘Location on board’ and ‘Amount’ are required</v>
      </c>
      <c r="L783" t="s">
        <v>1391</v>
      </c>
    </row>
    <row r="784" spans="7:12" x14ac:dyDescent="0.25">
      <c r="G784" t="b">
        <f>IF(OR(INDEX(IHZ_HAZ_UNITTYPE,27,1)&lt;&gt;"",),IF(OR(INDEX(IHZ_HAZ_LOCATION,27,1)="",INDEX(IHZ_HAZ_AMOUNT,27,1)="",),FALSE,TRUE),TRUE)</f>
        <v>1</v>
      </c>
      <c r="H784" t="str">
        <f t="shared" si="24"/>
        <v>Row 27 - For a ‘Transport unit’ both ‘Location on board’ and ‘Amount’ are required</v>
      </c>
      <c r="I784" t="s">
        <v>1391</v>
      </c>
      <c r="J784" t="b">
        <f>IF(OR(INDEX(OHZ_HAZ_UNITTYPE,27,1)&lt;&gt;"",),IF(OR(INDEX(OHZ_HAZ_LOCATION,27,1)="",INDEX(OHZ_HAZ_AMOUNT,27,1)="",),FALSE,TRUE),TRUE)</f>
        <v>1</v>
      </c>
      <c r="K784" t="str">
        <f t="shared" si="25"/>
        <v>Row 27 - For a ‘Transport unit’ both ‘Location on board’ and ‘Amount’ are required</v>
      </c>
      <c r="L784" t="s">
        <v>1391</v>
      </c>
    </row>
    <row r="785" spans="7:12" x14ac:dyDescent="0.25">
      <c r="G785" t="b">
        <f>IF(OR(INDEX(IHZ_HAZ_UNITTYPE,28,1)&lt;&gt;"",),IF(OR(INDEX(IHZ_HAZ_LOCATION,28,1)="",INDEX(IHZ_HAZ_AMOUNT,28,1)="",),FALSE,TRUE),TRUE)</f>
        <v>1</v>
      </c>
      <c r="H785" t="str">
        <f t="shared" si="24"/>
        <v>Row 28 - For a ‘Transport unit’ both ‘Location on board’ and ‘Amount’ are required</v>
      </c>
      <c r="I785" t="s">
        <v>1391</v>
      </c>
      <c r="J785" t="b">
        <f>IF(OR(INDEX(OHZ_HAZ_UNITTYPE,28,1)&lt;&gt;"",),IF(OR(INDEX(OHZ_HAZ_LOCATION,28,1)="",INDEX(OHZ_HAZ_AMOUNT,28,1)="",),FALSE,TRUE),TRUE)</f>
        <v>1</v>
      </c>
      <c r="K785" t="str">
        <f t="shared" si="25"/>
        <v>Row 28 - For a ‘Transport unit’ both ‘Location on board’ and ‘Amount’ are required</v>
      </c>
      <c r="L785" t="s">
        <v>1391</v>
      </c>
    </row>
    <row r="786" spans="7:12" x14ac:dyDescent="0.25">
      <c r="G786" t="b">
        <f>IF(OR(INDEX(IHZ_HAZ_UNITTYPE,29,1)&lt;&gt;"",),IF(OR(INDEX(IHZ_HAZ_LOCATION,29,1)="",INDEX(IHZ_HAZ_AMOUNT,29,1)="",),FALSE,TRUE),TRUE)</f>
        <v>1</v>
      </c>
      <c r="H786" t="str">
        <f t="shared" si="24"/>
        <v>Row 29 - For a ‘Transport unit’ both ‘Location on board’ and ‘Amount’ are required</v>
      </c>
      <c r="I786" t="s">
        <v>1391</v>
      </c>
      <c r="J786" t="b">
        <f>IF(OR(INDEX(OHZ_HAZ_UNITTYPE,29,1)&lt;&gt;"",),IF(OR(INDEX(OHZ_HAZ_LOCATION,29,1)="",INDEX(OHZ_HAZ_AMOUNT,29,1)="",),FALSE,TRUE),TRUE)</f>
        <v>1</v>
      </c>
      <c r="K786" t="str">
        <f t="shared" si="25"/>
        <v>Row 29 - For a ‘Transport unit’ both ‘Location on board’ and ‘Amount’ are required</v>
      </c>
      <c r="L786" t="s">
        <v>1391</v>
      </c>
    </row>
    <row r="787" spans="7:12" x14ac:dyDescent="0.25">
      <c r="G787" t="b">
        <f>IF(OR(INDEX(IHZ_HAZ_UNITTYPE,30,1)&lt;&gt;"",),IF(OR(INDEX(IHZ_HAZ_LOCATION,30,1)="",INDEX(IHZ_HAZ_AMOUNT,30,1)="",),FALSE,TRUE),TRUE)</f>
        <v>1</v>
      </c>
      <c r="H787" t="str">
        <f t="shared" si="24"/>
        <v>Row 30 - For a ‘Transport unit’ both ‘Location on board’ and ‘Amount’ are required</v>
      </c>
      <c r="I787" t="s">
        <v>1391</v>
      </c>
      <c r="J787" t="b">
        <f>IF(OR(INDEX(OHZ_HAZ_UNITTYPE,30,1)&lt;&gt;"",),IF(OR(INDEX(OHZ_HAZ_LOCATION,30,1)="",INDEX(OHZ_HAZ_AMOUNT,30,1)="",),FALSE,TRUE),TRUE)</f>
        <v>1</v>
      </c>
      <c r="K787" t="str">
        <f t="shared" si="25"/>
        <v>Row 30 - For a ‘Transport unit’ both ‘Location on board’ and ‘Amount’ are required</v>
      </c>
      <c r="L787" t="s">
        <v>1391</v>
      </c>
    </row>
    <row r="788" spans="7:12" x14ac:dyDescent="0.25">
      <c r="G788" t="b">
        <f>IF(OR(INDEX(IHZ_HAZ_UNITTYPE,31,1)&lt;&gt;"",),IF(OR(INDEX(IHZ_HAZ_LOCATION,31,1)="",INDEX(IHZ_HAZ_AMOUNT,31,1)="",),FALSE,TRUE),TRUE)</f>
        <v>1</v>
      </c>
      <c r="H788" t="str">
        <f t="shared" si="24"/>
        <v>Row 31 - For a ‘Transport unit’ both ‘Location on board’ and ‘Amount’ are required</v>
      </c>
      <c r="I788" t="s">
        <v>1391</v>
      </c>
      <c r="J788" t="b">
        <f>IF(OR(INDEX(OHZ_HAZ_UNITTYPE,31,1)&lt;&gt;"",),IF(OR(INDEX(OHZ_HAZ_LOCATION,31,1)="",INDEX(OHZ_HAZ_AMOUNT,31,1)="",),FALSE,TRUE),TRUE)</f>
        <v>1</v>
      </c>
      <c r="K788" t="str">
        <f t="shared" si="25"/>
        <v>Row 31 - For a ‘Transport unit’ both ‘Location on board’ and ‘Amount’ are required</v>
      </c>
      <c r="L788" t="s">
        <v>1391</v>
      </c>
    </row>
    <row r="789" spans="7:12" x14ac:dyDescent="0.25">
      <c r="G789" t="b">
        <f>IF(OR(INDEX(IHZ_HAZ_UNITTYPE,32,1)&lt;&gt;"",),IF(OR(INDEX(IHZ_HAZ_LOCATION,32,1)="",INDEX(IHZ_HAZ_AMOUNT,32,1)="",),FALSE,TRUE),TRUE)</f>
        <v>1</v>
      </c>
      <c r="H789" t="str">
        <f t="shared" si="24"/>
        <v>Row 32 - For a ‘Transport unit’ both ‘Location on board’ and ‘Amount’ are required</v>
      </c>
      <c r="I789" t="s">
        <v>1391</v>
      </c>
      <c r="J789" t="b">
        <f>IF(OR(INDEX(OHZ_HAZ_UNITTYPE,32,1)&lt;&gt;"",),IF(OR(INDEX(OHZ_HAZ_LOCATION,32,1)="",INDEX(OHZ_HAZ_AMOUNT,32,1)="",),FALSE,TRUE),TRUE)</f>
        <v>1</v>
      </c>
      <c r="K789" t="str">
        <f t="shared" si="25"/>
        <v>Row 32 - For a ‘Transport unit’ both ‘Location on board’ and ‘Amount’ are required</v>
      </c>
      <c r="L789" t="s">
        <v>1391</v>
      </c>
    </row>
    <row r="790" spans="7:12" x14ac:dyDescent="0.25">
      <c r="G790" t="b">
        <f>IF(OR(INDEX(IHZ_HAZ_UNITTYPE,33,1)&lt;&gt;"",),IF(OR(INDEX(IHZ_HAZ_LOCATION,33,1)="",INDEX(IHZ_HAZ_AMOUNT,33,1)="",),FALSE,TRUE),TRUE)</f>
        <v>1</v>
      </c>
      <c r="H790" t="str">
        <f t="shared" si="24"/>
        <v>Row 33 - For a ‘Transport unit’ both ‘Location on board’ and ‘Amount’ are required</v>
      </c>
      <c r="I790" t="s">
        <v>1391</v>
      </c>
      <c r="J790" t="b">
        <f>IF(OR(INDEX(OHZ_HAZ_UNITTYPE,33,1)&lt;&gt;"",),IF(OR(INDEX(OHZ_HAZ_LOCATION,33,1)="",INDEX(OHZ_HAZ_AMOUNT,33,1)="",),FALSE,TRUE),TRUE)</f>
        <v>1</v>
      </c>
      <c r="K790" t="str">
        <f t="shared" si="25"/>
        <v>Row 33 - For a ‘Transport unit’ both ‘Location on board’ and ‘Amount’ are required</v>
      </c>
      <c r="L790" t="s">
        <v>1391</v>
      </c>
    </row>
    <row r="791" spans="7:12" x14ac:dyDescent="0.25">
      <c r="G791" t="b">
        <f>IF(OR(INDEX(IHZ_HAZ_UNITTYPE,34,1)&lt;&gt;"",),IF(OR(INDEX(IHZ_HAZ_LOCATION,34,1)="",INDEX(IHZ_HAZ_AMOUNT,34,1)="",),FALSE,TRUE),TRUE)</f>
        <v>1</v>
      </c>
      <c r="H791" t="str">
        <f t="shared" si="24"/>
        <v>Row 34 - For a ‘Transport unit’ both ‘Location on board’ and ‘Amount’ are required</v>
      </c>
      <c r="I791" t="s">
        <v>1391</v>
      </c>
      <c r="J791" t="b">
        <f>IF(OR(INDEX(OHZ_HAZ_UNITTYPE,34,1)&lt;&gt;"",),IF(OR(INDEX(OHZ_HAZ_LOCATION,34,1)="",INDEX(OHZ_HAZ_AMOUNT,34,1)="",),FALSE,TRUE),TRUE)</f>
        <v>1</v>
      </c>
      <c r="K791" t="str">
        <f t="shared" si="25"/>
        <v>Row 34 - For a ‘Transport unit’ both ‘Location on board’ and ‘Amount’ are required</v>
      </c>
      <c r="L791" t="s">
        <v>1391</v>
      </c>
    </row>
    <row r="792" spans="7:12" x14ac:dyDescent="0.25">
      <c r="G792" t="b">
        <f>IF(OR(INDEX(IHZ_HAZ_UNITTYPE,35,1)&lt;&gt;"",),IF(OR(INDEX(IHZ_HAZ_LOCATION,35,1)="",INDEX(IHZ_HAZ_AMOUNT,35,1)="",),FALSE,TRUE),TRUE)</f>
        <v>1</v>
      </c>
      <c r="H792" t="str">
        <f t="shared" si="24"/>
        <v>Row 35 - For a ‘Transport unit’ both ‘Location on board’ and ‘Amount’ are required</v>
      </c>
      <c r="I792" t="s">
        <v>1391</v>
      </c>
      <c r="J792" t="b">
        <f>IF(OR(INDEX(OHZ_HAZ_UNITTYPE,35,1)&lt;&gt;"",),IF(OR(INDEX(OHZ_HAZ_LOCATION,35,1)="",INDEX(OHZ_HAZ_AMOUNT,35,1)="",),FALSE,TRUE),TRUE)</f>
        <v>1</v>
      </c>
      <c r="K792" t="str">
        <f t="shared" si="25"/>
        <v>Row 35 - For a ‘Transport unit’ both ‘Location on board’ and ‘Amount’ are required</v>
      </c>
      <c r="L792" t="s">
        <v>1391</v>
      </c>
    </row>
    <row r="793" spans="7:12" x14ac:dyDescent="0.25">
      <c r="G793" t="b">
        <f>IF(OR(INDEX(IHZ_HAZ_UNITTYPE,36,1)&lt;&gt;"",),IF(OR(INDEX(IHZ_HAZ_LOCATION,36,1)="",INDEX(IHZ_HAZ_AMOUNT,36,1)="",),FALSE,TRUE),TRUE)</f>
        <v>1</v>
      </c>
      <c r="H793" t="str">
        <f t="shared" si="24"/>
        <v>Row 36 - For a ‘Transport unit’ both ‘Location on board’ and ‘Amount’ are required</v>
      </c>
      <c r="I793" t="s">
        <v>1391</v>
      </c>
      <c r="J793" t="b">
        <f>IF(OR(INDEX(OHZ_HAZ_UNITTYPE,36,1)&lt;&gt;"",),IF(OR(INDEX(OHZ_HAZ_LOCATION,36,1)="",INDEX(OHZ_HAZ_AMOUNT,36,1)="",),FALSE,TRUE),TRUE)</f>
        <v>1</v>
      </c>
      <c r="K793" t="str">
        <f t="shared" si="25"/>
        <v>Row 36 - For a ‘Transport unit’ both ‘Location on board’ and ‘Amount’ are required</v>
      </c>
      <c r="L793" t="s">
        <v>1391</v>
      </c>
    </row>
    <row r="794" spans="7:12" x14ac:dyDescent="0.25">
      <c r="G794" t="b">
        <f>IF(OR(INDEX(IHZ_HAZ_UNITTYPE,37,1)&lt;&gt;"",),IF(OR(INDEX(IHZ_HAZ_LOCATION,37,1)="",INDEX(IHZ_HAZ_AMOUNT,37,1)="",),FALSE,TRUE),TRUE)</f>
        <v>1</v>
      </c>
      <c r="H794" t="str">
        <f t="shared" si="24"/>
        <v>Row 37 - For a ‘Transport unit’ both ‘Location on board’ and ‘Amount’ are required</v>
      </c>
      <c r="I794" t="s">
        <v>1391</v>
      </c>
      <c r="J794" t="b">
        <f>IF(OR(INDEX(OHZ_HAZ_UNITTYPE,37,1)&lt;&gt;"",),IF(OR(INDEX(OHZ_HAZ_LOCATION,37,1)="",INDEX(OHZ_HAZ_AMOUNT,37,1)="",),FALSE,TRUE),TRUE)</f>
        <v>1</v>
      </c>
      <c r="K794" t="str">
        <f t="shared" si="25"/>
        <v>Row 37 - For a ‘Transport unit’ both ‘Location on board’ and ‘Amount’ are required</v>
      </c>
      <c r="L794" t="s">
        <v>1391</v>
      </c>
    </row>
    <row r="795" spans="7:12" x14ac:dyDescent="0.25">
      <c r="G795" t="b">
        <f>IF(OR(INDEX(IHZ_HAZ_UNITTYPE,38,1)&lt;&gt;"",),IF(OR(INDEX(IHZ_HAZ_LOCATION,38,1)="",INDEX(IHZ_HAZ_AMOUNT,38,1)="",),FALSE,TRUE),TRUE)</f>
        <v>1</v>
      </c>
      <c r="H795" t="str">
        <f t="shared" si="24"/>
        <v>Row 38 - For a ‘Transport unit’ both ‘Location on board’ and ‘Amount’ are required</v>
      </c>
      <c r="I795" t="s">
        <v>1391</v>
      </c>
      <c r="J795" t="b">
        <f>IF(OR(INDEX(OHZ_HAZ_UNITTYPE,38,1)&lt;&gt;"",),IF(OR(INDEX(OHZ_HAZ_LOCATION,38,1)="",INDEX(OHZ_HAZ_AMOUNT,38,1)="",),FALSE,TRUE),TRUE)</f>
        <v>1</v>
      </c>
      <c r="K795" t="str">
        <f t="shared" si="25"/>
        <v>Row 38 - For a ‘Transport unit’ both ‘Location on board’ and ‘Amount’ are required</v>
      </c>
      <c r="L795" t="s">
        <v>1391</v>
      </c>
    </row>
    <row r="796" spans="7:12" x14ac:dyDescent="0.25">
      <c r="G796" t="b">
        <f>IF(OR(INDEX(IHZ_HAZ_UNITTYPE,39,1)&lt;&gt;"",),IF(OR(INDEX(IHZ_HAZ_LOCATION,39,1)="",INDEX(IHZ_HAZ_AMOUNT,39,1)="",),FALSE,TRUE),TRUE)</f>
        <v>1</v>
      </c>
      <c r="H796" t="str">
        <f t="shared" si="24"/>
        <v>Row 39 - For a ‘Transport unit’ both ‘Location on board’ and ‘Amount’ are required</v>
      </c>
      <c r="I796" t="s">
        <v>1391</v>
      </c>
      <c r="J796" t="b">
        <f>IF(OR(INDEX(OHZ_HAZ_UNITTYPE,39,1)&lt;&gt;"",),IF(OR(INDEX(OHZ_HAZ_LOCATION,39,1)="",INDEX(OHZ_HAZ_AMOUNT,39,1)="",),FALSE,TRUE),TRUE)</f>
        <v>1</v>
      </c>
      <c r="K796" t="str">
        <f t="shared" si="25"/>
        <v>Row 39 - For a ‘Transport unit’ both ‘Location on board’ and ‘Amount’ are required</v>
      </c>
      <c r="L796" t="s">
        <v>1391</v>
      </c>
    </row>
    <row r="797" spans="7:12" x14ac:dyDescent="0.25">
      <c r="G797" t="b">
        <f>IF(OR(INDEX(IHZ_HAZ_UNITTYPE,40,1)&lt;&gt;"",),IF(OR(INDEX(IHZ_HAZ_LOCATION,40,1)="",INDEX(IHZ_HAZ_AMOUNT,40,1)="",),FALSE,TRUE),TRUE)</f>
        <v>1</v>
      </c>
      <c r="H797" t="str">
        <f t="shared" si="24"/>
        <v>Row 40 - For a ‘Transport unit’ both ‘Location on board’ and ‘Amount’ are required</v>
      </c>
      <c r="I797" t="s">
        <v>1391</v>
      </c>
      <c r="J797" t="b">
        <f>IF(OR(INDEX(OHZ_HAZ_UNITTYPE,40,1)&lt;&gt;"",),IF(OR(INDEX(OHZ_HAZ_LOCATION,40,1)="",INDEX(OHZ_HAZ_AMOUNT,40,1)="",),FALSE,TRUE),TRUE)</f>
        <v>1</v>
      </c>
      <c r="K797" t="str">
        <f t="shared" si="25"/>
        <v>Row 40 - For a ‘Transport unit’ both ‘Location on board’ and ‘Amount’ are required</v>
      </c>
      <c r="L797" t="s">
        <v>1391</v>
      </c>
    </row>
    <row r="798" spans="7:12" x14ac:dyDescent="0.25">
      <c r="G798" t="b">
        <f>IF(OR(INDEX(IHZ_HAZ_UNITTYPE,41,1)&lt;&gt;"",),IF(OR(INDEX(IHZ_HAZ_LOCATION,41,1)="",INDEX(IHZ_HAZ_AMOUNT,41,1)="",),FALSE,TRUE),TRUE)</f>
        <v>1</v>
      </c>
      <c r="H798" t="str">
        <f t="shared" si="24"/>
        <v>Row 41 - For a ‘Transport unit’ both ‘Location on board’ and ‘Amount’ are required</v>
      </c>
      <c r="I798" t="s">
        <v>1391</v>
      </c>
      <c r="J798" t="b">
        <f>IF(OR(INDEX(OHZ_HAZ_UNITTYPE,41,1)&lt;&gt;"",),IF(OR(INDEX(OHZ_HAZ_LOCATION,41,1)="",INDEX(OHZ_HAZ_AMOUNT,41,1)="",),FALSE,TRUE),TRUE)</f>
        <v>1</v>
      </c>
      <c r="K798" t="str">
        <f t="shared" si="25"/>
        <v>Row 41 - For a ‘Transport unit’ both ‘Location on board’ and ‘Amount’ are required</v>
      </c>
      <c r="L798" t="s">
        <v>1391</v>
      </c>
    </row>
    <row r="799" spans="7:12" x14ac:dyDescent="0.25">
      <c r="G799" t="b">
        <f>IF(OR(INDEX(IHZ_HAZ_UNITTYPE,42,1)&lt;&gt;"",),IF(OR(INDEX(IHZ_HAZ_LOCATION,42,1)="",INDEX(IHZ_HAZ_AMOUNT,42,1)="",),FALSE,TRUE),TRUE)</f>
        <v>1</v>
      </c>
      <c r="H799" t="str">
        <f t="shared" si="24"/>
        <v>Row 42 - For a ‘Transport unit’ both ‘Location on board’ and ‘Amount’ are required</v>
      </c>
      <c r="I799" t="s">
        <v>1391</v>
      </c>
      <c r="J799" t="b">
        <f>IF(OR(INDEX(OHZ_HAZ_UNITTYPE,42,1)&lt;&gt;"",),IF(OR(INDEX(OHZ_HAZ_LOCATION,42,1)="",INDEX(OHZ_HAZ_AMOUNT,42,1)="",),FALSE,TRUE),TRUE)</f>
        <v>1</v>
      </c>
      <c r="K799" t="str">
        <f t="shared" si="25"/>
        <v>Row 42 - For a ‘Transport unit’ both ‘Location on board’ and ‘Amount’ are required</v>
      </c>
      <c r="L799" t="s">
        <v>1391</v>
      </c>
    </row>
    <row r="800" spans="7:12" x14ac:dyDescent="0.25">
      <c r="G800" t="b">
        <f>IF(OR(INDEX(IHZ_HAZ_UNITTYPE,43,1)&lt;&gt;"",),IF(OR(INDEX(IHZ_HAZ_LOCATION,43,1)="",INDEX(IHZ_HAZ_AMOUNT,43,1)="",),FALSE,TRUE),TRUE)</f>
        <v>1</v>
      </c>
      <c r="H800" t="str">
        <f t="shared" si="24"/>
        <v>Row 43 - For a ‘Transport unit’ both ‘Location on board’ and ‘Amount’ are required</v>
      </c>
      <c r="I800" t="s">
        <v>1391</v>
      </c>
      <c r="J800" t="b">
        <f>IF(OR(INDEX(OHZ_HAZ_UNITTYPE,43,1)&lt;&gt;"",),IF(OR(INDEX(OHZ_HAZ_LOCATION,43,1)="",INDEX(OHZ_HAZ_AMOUNT,43,1)="",),FALSE,TRUE),TRUE)</f>
        <v>1</v>
      </c>
      <c r="K800" t="str">
        <f t="shared" si="25"/>
        <v>Row 43 - For a ‘Transport unit’ both ‘Location on board’ and ‘Amount’ are required</v>
      </c>
      <c r="L800" t="s">
        <v>1391</v>
      </c>
    </row>
    <row r="801" spans="7:12" x14ac:dyDescent="0.25">
      <c r="G801" t="b">
        <f>IF(OR(INDEX(IHZ_HAZ_UNITTYPE,44,1)&lt;&gt;"",),IF(OR(INDEX(IHZ_HAZ_LOCATION,44,1)="",INDEX(IHZ_HAZ_AMOUNT,44,1)="",),FALSE,TRUE),TRUE)</f>
        <v>1</v>
      </c>
      <c r="H801" t="str">
        <f t="shared" si="24"/>
        <v>Row 44 - For a ‘Transport unit’ both ‘Location on board’ and ‘Amount’ are required</v>
      </c>
      <c r="I801" t="s">
        <v>1391</v>
      </c>
      <c r="J801" t="b">
        <f>IF(OR(INDEX(OHZ_HAZ_UNITTYPE,44,1)&lt;&gt;"",),IF(OR(INDEX(OHZ_HAZ_LOCATION,44,1)="",INDEX(OHZ_HAZ_AMOUNT,44,1)="",),FALSE,TRUE),TRUE)</f>
        <v>1</v>
      </c>
      <c r="K801" t="str">
        <f t="shared" si="25"/>
        <v>Row 44 - For a ‘Transport unit’ both ‘Location on board’ and ‘Amount’ are required</v>
      </c>
      <c r="L801" t="s">
        <v>1391</v>
      </c>
    </row>
    <row r="802" spans="7:12" x14ac:dyDescent="0.25">
      <c r="G802" t="b">
        <f>IF(OR(INDEX(IHZ_HAZ_UNITTYPE,45,1)&lt;&gt;"",),IF(OR(INDEX(IHZ_HAZ_LOCATION,45,1)="",INDEX(IHZ_HAZ_AMOUNT,45,1)="",),FALSE,TRUE),TRUE)</f>
        <v>1</v>
      </c>
      <c r="H802" t="str">
        <f t="shared" si="24"/>
        <v>Row 45 - For a ‘Transport unit’ both ‘Location on board’ and ‘Amount’ are required</v>
      </c>
      <c r="I802" t="s">
        <v>1391</v>
      </c>
      <c r="J802" t="b">
        <f>IF(OR(INDEX(OHZ_HAZ_UNITTYPE,45,1)&lt;&gt;"",),IF(OR(INDEX(OHZ_HAZ_LOCATION,45,1)="",INDEX(OHZ_HAZ_AMOUNT,45,1)="",),FALSE,TRUE),TRUE)</f>
        <v>1</v>
      </c>
      <c r="K802" t="str">
        <f t="shared" si="25"/>
        <v>Row 45 - For a ‘Transport unit’ both ‘Location on board’ and ‘Amount’ are required</v>
      </c>
      <c r="L802" t="s">
        <v>1391</v>
      </c>
    </row>
    <row r="803" spans="7:12" x14ac:dyDescent="0.25">
      <c r="G803" t="b">
        <f>IF(OR(INDEX(IHZ_HAZ_UNITTYPE,46,1)&lt;&gt;"",),IF(OR(INDEX(IHZ_HAZ_LOCATION,46,1)="",INDEX(IHZ_HAZ_AMOUNT,46,1)="",),FALSE,TRUE),TRUE)</f>
        <v>1</v>
      </c>
      <c r="H803" t="str">
        <f t="shared" si="24"/>
        <v>Row 46 - For a ‘Transport unit’ both ‘Location on board’ and ‘Amount’ are required</v>
      </c>
      <c r="I803" t="s">
        <v>1391</v>
      </c>
      <c r="J803" t="b">
        <f>IF(OR(INDEX(OHZ_HAZ_UNITTYPE,46,1)&lt;&gt;"",),IF(OR(INDEX(OHZ_HAZ_LOCATION,46,1)="",INDEX(OHZ_HAZ_AMOUNT,46,1)="",),FALSE,TRUE),TRUE)</f>
        <v>1</v>
      </c>
      <c r="K803" t="str">
        <f t="shared" si="25"/>
        <v>Row 46 - For a ‘Transport unit’ both ‘Location on board’ and ‘Amount’ are required</v>
      </c>
      <c r="L803" t="s">
        <v>1391</v>
      </c>
    </row>
    <row r="804" spans="7:12" x14ac:dyDescent="0.25">
      <c r="G804" t="b">
        <f>IF(OR(INDEX(IHZ_HAZ_UNITTYPE,47,1)&lt;&gt;"",),IF(OR(INDEX(IHZ_HAZ_LOCATION,47,1)="",INDEX(IHZ_HAZ_AMOUNT,47,1)="",),FALSE,TRUE),TRUE)</f>
        <v>1</v>
      </c>
      <c r="H804" t="str">
        <f t="shared" si="24"/>
        <v>Row 47 - For a ‘Transport unit’ both ‘Location on board’ and ‘Amount’ are required</v>
      </c>
      <c r="I804" t="s">
        <v>1391</v>
      </c>
      <c r="J804" t="b">
        <f>IF(OR(INDEX(OHZ_HAZ_UNITTYPE,47,1)&lt;&gt;"",),IF(OR(INDEX(OHZ_HAZ_LOCATION,47,1)="",INDEX(OHZ_HAZ_AMOUNT,47,1)="",),FALSE,TRUE),TRUE)</f>
        <v>1</v>
      </c>
      <c r="K804" t="str">
        <f t="shared" si="25"/>
        <v>Row 47 - For a ‘Transport unit’ both ‘Location on board’ and ‘Amount’ are required</v>
      </c>
      <c r="L804" t="s">
        <v>1391</v>
      </c>
    </row>
    <row r="805" spans="7:12" x14ac:dyDescent="0.25">
      <c r="G805" t="b">
        <f>IF(OR(INDEX(IHZ_HAZ_UNITTYPE,48,1)&lt;&gt;"",),IF(OR(INDEX(IHZ_HAZ_LOCATION,48,1)="",INDEX(IHZ_HAZ_AMOUNT,48,1)="",),FALSE,TRUE),TRUE)</f>
        <v>1</v>
      </c>
      <c r="H805" t="str">
        <f t="shared" si="24"/>
        <v>Row 48 - For a ‘Transport unit’ both ‘Location on board’ and ‘Amount’ are required</v>
      </c>
      <c r="I805" t="s">
        <v>1391</v>
      </c>
      <c r="J805" t="b">
        <f>IF(OR(INDEX(OHZ_HAZ_UNITTYPE,48,1)&lt;&gt;"",),IF(OR(INDEX(OHZ_HAZ_LOCATION,48,1)="",INDEX(OHZ_HAZ_AMOUNT,48,1)="",),FALSE,TRUE),TRUE)</f>
        <v>1</v>
      </c>
      <c r="K805" t="str">
        <f t="shared" si="25"/>
        <v>Row 48 - For a ‘Transport unit’ both ‘Location on board’ and ‘Amount’ are required</v>
      </c>
      <c r="L805" t="s">
        <v>1391</v>
      </c>
    </row>
    <row r="806" spans="7:12" x14ac:dyDescent="0.25">
      <c r="G806" t="b">
        <f>IF(OR(INDEX(IHZ_HAZ_UNITTYPE,49,1)&lt;&gt;"",),IF(OR(INDEX(IHZ_HAZ_LOCATION,49,1)="",INDEX(IHZ_HAZ_AMOUNT,49,1)="",),FALSE,TRUE),TRUE)</f>
        <v>1</v>
      </c>
      <c r="H806" t="str">
        <f t="shared" si="24"/>
        <v>Row 49 - For a ‘Transport unit’ both ‘Location on board’ and ‘Amount’ are required</v>
      </c>
      <c r="I806" t="s">
        <v>1391</v>
      </c>
      <c r="J806" t="b">
        <f>IF(OR(INDEX(OHZ_HAZ_UNITTYPE,49,1)&lt;&gt;"",),IF(OR(INDEX(OHZ_HAZ_LOCATION,49,1)="",INDEX(OHZ_HAZ_AMOUNT,49,1)="",),FALSE,TRUE),TRUE)</f>
        <v>1</v>
      </c>
      <c r="K806" t="str">
        <f t="shared" si="25"/>
        <v>Row 49 - For a ‘Transport unit’ both ‘Location on board’ and ‘Amount’ are required</v>
      </c>
      <c r="L806" t="s">
        <v>1391</v>
      </c>
    </row>
    <row r="807" spans="7:12" x14ac:dyDescent="0.25">
      <c r="G807" t="b">
        <f>IF(OR(INDEX(IHZ_HAZ_UNITTYPE,50,1)&lt;&gt;"",),IF(OR(INDEX(IHZ_HAZ_LOCATION,50,1)="",INDEX(IHZ_HAZ_AMOUNT,50,1)="",),FALSE,TRUE),TRUE)</f>
        <v>1</v>
      </c>
      <c r="H807" t="str">
        <f t="shared" si="24"/>
        <v>Row 50 - For a ‘Transport unit’ both ‘Location on board’ and ‘Amount’ are required</v>
      </c>
      <c r="I807" t="s">
        <v>1391</v>
      </c>
      <c r="J807" t="b">
        <f>IF(OR(INDEX(OHZ_HAZ_UNITTYPE,50,1)&lt;&gt;"",),IF(OR(INDEX(OHZ_HAZ_LOCATION,50,1)="",INDEX(OHZ_HAZ_AMOUNT,50,1)="",),FALSE,TRUE),TRUE)</f>
        <v>1</v>
      </c>
      <c r="K807" t="str">
        <f t="shared" si="25"/>
        <v>Row 50 - For a ‘Transport unit’ both ‘Location on board’ and ‘Amount’ are required</v>
      </c>
      <c r="L807" t="s">
        <v>1391</v>
      </c>
    </row>
    <row r="808" spans="7:12" x14ac:dyDescent="0.25">
      <c r="G808" t="b">
        <f>IF(OR(INDEX(IHZ_HAZ_UNITTYPE,51,1)&lt;&gt;"",),IF(OR(INDEX(IHZ_HAZ_LOCATION,51,1)="",INDEX(IHZ_HAZ_AMOUNT,51,1)="",),FALSE,TRUE),TRUE)</f>
        <v>1</v>
      </c>
      <c r="H808" t="str">
        <f t="shared" si="24"/>
        <v>Row 51 - For a ‘Transport unit’ both ‘Location on board’ and ‘Amount’ are required</v>
      </c>
      <c r="I808" t="s">
        <v>1391</v>
      </c>
      <c r="J808" t="b">
        <f>IF(OR(INDEX(OHZ_HAZ_UNITTYPE,51,1)&lt;&gt;"",),IF(OR(INDEX(OHZ_HAZ_LOCATION,51,1)="",INDEX(OHZ_HAZ_AMOUNT,51,1)="",),FALSE,TRUE),TRUE)</f>
        <v>1</v>
      </c>
      <c r="K808" t="str">
        <f t="shared" si="25"/>
        <v>Row 51 - For a ‘Transport unit’ both ‘Location on board’ and ‘Amount’ are required</v>
      </c>
      <c r="L808" t="s">
        <v>1391</v>
      </c>
    </row>
    <row r="809" spans="7:12" x14ac:dyDescent="0.25">
      <c r="G809" t="b">
        <f>IF(OR(INDEX(IHZ_HAZ_UNITTYPE,52,1)&lt;&gt;"",),IF(OR(INDEX(IHZ_HAZ_LOCATION,52,1)="",INDEX(IHZ_HAZ_AMOUNT,52,1)="",),FALSE,TRUE),TRUE)</f>
        <v>1</v>
      </c>
      <c r="H809" t="str">
        <f t="shared" si="24"/>
        <v>Row 52 - For a ‘Transport unit’ both ‘Location on board’ and ‘Amount’ are required</v>
      </c>
      <c r="I809" t="s">
        <v>1391</v>
      </c>
      <c r="J809" t="b">
        <f>IF(OR(INDEX(OHZ_HAZ_UNITTYPE,52,1)&lt;&gt;"",),IF(OR(INDEX(OHZ_HAZ_LOCATION,52,1)="",INDEX(OHZ_HAZ_AMOUNT,52,1)="",),FALSE,TRUE),TRUE)</f>
        <v>1</v>
      </c>
      <c r="K809" t="str">
        <f t="shared" si="25"/>
        <v>Row 52 - For a ‘Transport unit’ both ‘Location on board’ and ‘Amount’ are required</v>
      </c>
      <c r="L809" t="s">
        <v>1391</v>
      </c>
    </row>
    <row r="810" spans="7:12" x14ac:dyDescent="0.25">
      <c r="G810" t="b">
        <f>IF(OR(INDEX(IHZ_HAZ_UNITTYPE,53,1)&lt;&gt;"",),IF(OR(INDEX(IHZ_HAZ_LOCATION,53,1)="",INDEX(IHZ_HAZ_AMOUNT,53,1)="",),FALSE,TRUE),TRUE)</f>
        <v>1</v>
      </c>
      <c r="H810" t="str">
        <f t="shared" si="24"/>
        <v>Row 53 - For a ‘Transport unit’ both ‘Location on board’ and ‘Amount’ are required</v>
      </c>
      <c r="I810" t="s">
        <v>1391</v>
      </c>
      <c r="J810" t="b">
        <f>IF(OR(INDEX(OHZ_HAZ_UNITTYPE,53,1)&lt;&gt;"",),IF(OR(INDEX(OHZ_HAZ_LOCATION,53,1)="",INDEX(OHZ_HAZ_AMOUNT,53,1)="",),FALSE,TRUE),TRUE)</f>
        <v>1</v>
      </c>
      <c r="K810" t="str">
        <f t="shared" si="25"/>
        <v>Row 53 - For a ‘Transport unit’ both ‘Location on board’ and ‘Amount’ are required</v>
      </c>
      <c r="L810" t="s">
        <v>1391</v>
      </c>
    </row>
    <row r="811" spans="7:12" x14ac:dyDescent="0.25">
      <c r="G811" t="b">
        <f>IF(OR(INDEX(IHZ_HAZ_UNITTYPE,54,1)&lt;&gt;"",),IF(OR(INDEX(IHZ_HAZ_LOCATION,54,1)="",INDEX(IHZ_HAZ_AMOUNT,54,1)="",),FALSE,TRUE),TRUE)</f>
        <v>1</v>
      </c>
      <c r="H811" t="str">
        <f t="shared" si="24"/>
        <v>Row 54 - For a ‘Transport unit’ both ‘Location on board’ and ‘Amount’ are required</v>
      </c>
      <c r="I811" t="s">
        <v>1391</v>
      </c>
      <c r="J811" t="b">
        <f>IF(OR(INDEX(OHZ_HAZ_UNITTYPE,54,1)&lt;&gt;"",),IF(OR(INDEX(OHZ_HAZ_LOCATION,54,1)="",INDEX(OHZ_HAZ_AMOUNT,54,1)="",),FALSE,TRUE),TRUE)</f>
        <v>1</v>
      </c>
      <c r="K811" t="str">
        <f t="shared" si="25"/>
        <v>Row 54 - For a ‘Transport unit’ both ‘Location on board’ and ‘Amount’ are required</v>
      </c>
      <c r="L811" t="s">
        <v>1391</v>
      </c>
    </row>
    <row r="812" spans="7:12" x14ac:dyDescent="0.25">
      <c r="G812" t="b">
        <f>IF(OR(INDEX(IHZ_HAZ_UNITTYPE,55,1)&lt;&gt;"",),IF(OR(INDEX(IHZ_HAZ_LOCATION,55,1)="",INDEX(IHZ_HAZ_AMOUNT,55,1)="",),FALSE,TRUE),TRUE)</f>
        <v>1</v>
      </c>
      <c r="H812" t="str">
        <f t="shared" si="24"/>
        <v>Row 55 - For a ‘Transport unit’ both ‘Location on board’ and ‘Amount’ are required</v>
      </c>
      <c r="I812" t="s">
        <v>1391</v>
      </c>
      <c r="J812" t="b">
        <f>IF(OR(INDEX(OHZ_HAZ_UNITTYPE,55,1)&lt;&gt;"",),IF(OR(INDEX(OHZ_HAZ_LOCATION,55,1)="",INDEX(OHZ_HAZ_AMOUNT,55,1)="",),FALSE,TRUE),TRUE)</f>
        <v>1</v>
      </c>
      <c r="K812" t="str">
        <f t="shared" si="25"/>
        <v>Row 55 - For a ‘Transport unit’ both ‘Location on board’ and ‘Amount’ are required</v>
      </c>
      <c r="L812" t="s">
        <v>1391</v>
      </c>
    </row>
    <row r="813" spans="7:12" x14ac:dyDescent="0.25">
      <c r="G813" t="b">
        <f>IF(OR(INDEX(IHZ_HAZ_UNITTYPE,56,1)&lt;&gt;"",),IF(OR(INDEX(IHZ_HAZ_LOCATION,56,1)="",INDEX(IHZ_HAZ_AMOUNT,56,1)="",),FALSE,TRUE),TRUE)</f>
        <v>1</v>
      </c>
      <c r="H813" t="str">
        <f t="shared" si="24"/>
        <v>Row 56 - For a ‘Transport unit’ both ‘Location on board’ and ‘Amount’ are required</v>
      </c>
      <c r="I813" t="s">
        <v>1391</v>
      </c>
      <c r="J813" t="b">
        <f>IF(OR(INDEX(OHZ_HAZ_UNITTYPE,56,1)&lt;&gt;"",),IF(OR(INDEX(OHZ_HAZ_LOCATION,56,1)="",INDEX(OHZ_HAZ_AMOUNT,56,1)="",),FALSE,TRUE),TRUE)</f>
        <v>1</v>
      </c>
      <c r="K813" t="str">
        <f t="shared" si="25"/>
        <v>Row 56 - For a ‘Transport unit’ both ‘Location on board’ and ‘Amount’ are required</v>
      </c>
      <c r="L813" t="s">
        <v>1391</v>
      </c>
    </row>
    <row r="814" spans="7:12" x14ac:dyDescent="0.25">
      <c r="G814" t="b">
        <f>IF(OR(INDEX(IHZ_HAZ_UNITTYPE,57,1)&lt;&gt;"",),IF(OR(INDEX(IHZ_HAZ_LOCATION,57,1)="",INDEX(IHZ_HAZ_AMOUNT,57,1)="",),FALSE,TRUE),TRUE)</f>
        <v>1</v>
      </c>
      <c r="H814" t="str">
        <f t="shared" si="24"/>
        <v>Row 57 - For a ‘Transport unit’ both ‘Location on board’ and ‘Amount’ are required</v>
      </c>
      <c r="I814" t="s">
        <v>1391</v>
      </c>
      <c r="J814" t="b">
        <f>IF(OR(INDEX(OHZ_HAZ_UNITTYPE,57,1)&lt;&gt;"",),IF(OR(INDEX(OHZ_HAZ_LOCATION,57,1)="",INDEX(OHZ_HAZ_AMOUNT,57,1)="",),FALSE,TRUE),TRUE)</f>
        <v>1</v>
      </c>
      <c r="K814" t="str">
        <f t="shared" si="25"/>
        <v>Row 57 - For a ‘Transport unit’ both ‘Location on board’ and ‘Amount’ are required</v>
      </c>
      <c r="L814" t="s">
        <v>1391</v>
      </c>
    </row>
    <row r="815" spans="7:12" x14ac:dyDescent="0.25">
      <c r="G815" t="b">
        <f>IF(OR(INDEX(IHZ_HAZ_UNITTYPE,58,1)&lt;&gt;"",),IF(OR(INDEX(IHZ_HAZ_LOCATION,58,1)="",INDEX(IHZ_HAZ_AMOUNT,58,1)="",),FALSE,TRUE),TRUE)</f>
        <v>1</v>
      </c>
      <c r="H815" t="str">
        <f t="shared" si="24"/>
        <v>Row 58 - For a ‘Transport unit’ both ‘Location on board’ and ‘Amount’ are required</v>
      </c>
      <c r="I815" t="s">
        <v>1391</v>
      </c>
      <c r="J815" t="b">
        <f>IF(OR(INDEX(OHZ_HAZ_UNITTYPE,58,1)&lt;&gt;"",),IF(OR(INDEX(OHZ_HAZ_LOCATION,58,1)="",INDEX(OHZ_HAZ_AMOUNT,58,1)="",),FALSE,TRUE),TRUE)</f>
        <v>1</v>
      </c>
      <c r="K815" t="str">
        <f t="shared" si="25"/>
        <v>Row 58 - For a ‘Transport unit’ both ‘Location on board’ and ‘Amount’ are required</v>
      </c>
      <c r="L815" t="s">
        <v>1391</v>
      </c>
    </row>
    <row r="816" spans="7:12" x14ac:dyDescent="0.25">
      <c r="G816" t="b">
        <f>IF(OR(INDEX(IHZ_HAZ_UNITTYPE,59,1)&lt;&gt;"",),IF(OR(INDEX(IHZ_HAZ_LOCATION,59,1)="",INDEX(IHZ_HAZ_AMOUNT,59,1)="",),FALSE,TRUE),TRUE)</f>
        <v>1</v>
      </c>
      <c r="H816" t="str">
        <f t="shared" si="24"/>
        <v>Row 59 - For a ‘Transport unit’ both ‘Location on board’ and ‘Amount’ are required</v>
      </c>
      <c r="I816" t="s">
        <v>1391</v>
      </c>
      <c r="J816" t="b">
        <f>IF(OR(INDEX(OHZ_HAZ_UNITTYPE,59,1)&lt;&gt;"",),IF(OR(INDEX(OHZ_HAZ_LOCATION,59,1)="",INDEX(OHZ_HAZ_AMOUNT,59,1)="",),FALSE,TRUE),TRUE)</f>
        <v>1</v>
      </c>
      <c r="K816" t="str">
        <f t="shared" si="25"/>
        <v>Row 59 - For a ‘Transport unit’ both ‘Location on board’ and ‘Amount’ are required</v>
      </c>
      <c r="L816" t="s">
        <v>1391</v>
      </c>
    </row>
    <row r="817" spans="7:12" x14ac:dyDescent="0.25">
      <c r="G817" t="b">
        <f>IF(OR(INDEX(IHZ_HAZ_UNITTYPE,60,1)&lt;&gt;"",),IF(OR(INDEX(IHZ_HAZ_LOCATION,60,1)="",INDEX(IHZ_HAZ_AMOUNT,60,1)="",),FALSE,TRUE),TRUE)</f>
        <v>1</v>
      </c>
      <c r="H817" t="str">
        <f t="shared" si="24"/>
        <v>Row 60 - For a ‘Transport unit’ both ‘Location on board’ and ‘Amount’ are required</v>
      </c>
      <c r="I817" t="s">
        <v>1391</v>
      </c>
      <c r="J817" t="b">
        <f>IF(OR(INDEX(OHZ_HAZ_UNITTYPE,60,1)&lt;&gt;"",),IF(OR(INDEX(OHZ_HAZ_LOCATION,60,1)="",INDEX(OHZ_HAZ_AMOUNT,60,1)="",),FALSE,TRUE),TRUE)</f>
        <v>1</v>
      </c>
      <c r="K817" t="str">
        <f t="shared" si="25"/>
        <v>Row 60 - For a ‘Transport unit’ both ‘Location on board’ and ‘Amount’ are required</v>
      </c>
      <c r="L817" t="s">
        <v>1391</v>
      </c>
    </row>
    <row r="818" spans="7:12" x14ac:dyDescent="0.25">
      <c r="G818" t="b">
        <f>IF(OR(INDEX(IHZ_HAZ_UNITTYPE,61,1)&lt;&gt;"",),IF(OR(INDEX(IHZ_HAZ_LOCATION,61,1)="",INDEX(IHZ_HAZ_AMOUNT,61,1)="",),FALSE,TRUE),TRUE)</f>
        <v>1</v>
      </c>
      <c r="H818" t="str">
        <f t="shared" si="24"/>
        <v>Row 61 - For a ‘Transport unit’ both ‘Location on board’ and ‘Amount’ are required</v>
      </c>
      <c r="I818" t="s">
        <v>1391</v>
      </c>
      <c r="J818" t="b">
        <f>IF(OR(INDEX(OHZ_HAZ_UNITTYPE,61,1)&lt;&gt;"",),IF(OR(INDEX(OHZ_HAZ_LOCATION,61,1)="",INDEX(OHZ_HAZ_AMOUNT,61,1)="",),FALSE,TRUE),TRUE)</f>
        <v>1</v>
      </c>
      <c r="K818" t="str">
        <f t="shared" si="25"/>
        <v>Row 61 - For a ‘Transport unit’ both ‘Location on board’ and ‘Amount’ are required</v>
      </c>
      <c r="L818" t="s">
        <v>1391</v>
      </c>
    </row>
    <row r="819" spans="7:12" x14ac:dyDescent="0.25">
      <c r="G819" t="b">
        <f>IF(OR(INDEX(IHZ_HAZ_UNITTYPE,62,1)&lt;&gt;"",),IF(OR(INDEX(IHZ_HAZ_LOCATION,62,1)="",INDEX(IHZ_HAZ_AMOUNT,62,1)="",),FALSE,TRUE),TRUE)</f>
        <v>1</v>
      </c>
      <c r="H819" t="str">
        <f t="shared" si="24"/>
        <v>Row 62 - For a ‘Transport unit’ both ‘Location on board’ and ‘Amount’ are required</v>
      </c>
      <c r="I819" t="s">
        <v>1391</v>
      </c>
      <c r="J819" t="b">
        <f>IF(OR(INDEX(OHZ_HAZ_UNITTYPE,62,1)&lt;&gt;"",),IF(OR(INDEX(OHZ_HAZ_LOCATION,62,1)="",INDEX(OHZ_HAZ_AMOUNT,62,1)="",),FALSE,TRUE),TRUE)</f>
        <v>1</v>
      </c>
      <c r="K819" t="str">
        <f t="shared" si="25"/>
        <v>Row 62 - For a ‘Transport unit’ both ‘Location on board’ and ‘Amount’ are required</v>
      </c>
      <c r="L819" t="s">
        <v>1391</v>
      </c>
    </row>
    <row r="820" spans="7:12" x14ac:dyDescent="0.25">
      <c r="G820" t="b">
        <f>IF(OR(INDEX(IHZ_HAZ_UNITTYPE,63,1)&lt;&gt;"",),IF(OR(INDEX(IHZ_HAZ_LOCATION,63,1)="",INDEX(IHZ_HAZ_AMOUNT,63,1)="",),FALSE,TRUE),TRUE)</f>
        <v>1</v>
      </c>
      <c r="H820" t="str">
        <f t="shared" si="24"/>
        <v>Row 63 - For a ‘Transport unit’ both ‘Location on board’ and ‘Amount’ are required</v>
      </c>
      <c r="I820" t="s">
        <v>1391</v>
      </c>
      <c r="J820" t="b">
        <f>IF(OR(INDEX(OHZ_HAZ_UNITTYPE,63,1)&lt;&gt;"",),IF(OR(INDEX(OHZ_HAZ_LOCATION,63,1)="",INDEX(OHZ_HAZ_AMOUNT,63,1)="",),FALSE,TRUE),TRUE)</f>
        <v>1</v>
      </c>
      <c r="K820" t="str">
        <f t="shared" si="25"/>
        <v>Row 63 - For a ‘Transport unit’ both ‘Location on board’ and ‘Amount’ are required</v>
      </c>
      <c r="L820" t="s">
        <v>1391</v>
      </c>
    </row>
    <row r="821" spans="7:12" x14ac:dyDescent="0.25">
      <c r="G821" t="b">
        <f>IF(OR(INDEX(IHZ_HAZ_UNITTYPE,64,1)&lt;&gt;"",),IF(OR(INDEX(IHZ_HAZ_LOCATION,64,1)="",INDEX(IHZ_HAZ_AMOUNT,64,1)="",),FALSE,TRUE),TRUE)</f>
        <v>1</v>
      </c>
      <c r="H821" t="str">
        <f t="shared" si="24"/>
        <v>Row 64 - For a ‘Transport unit’ both ‘Location on board’ and ‘Amount’ are required</v>
      </c>
      <c r="I821" t="s">
        <v>1391</v>
      </c>
      <c r="J821" t="b">
        <f>IF(OR(INDEX(OHZ_HAZ_UNITTYPE,64,1)&lt;&gt;"",),IF(OR(INDEX(OHZ_HAZ_LOCATION,64,1)="",INDEX(OHZ_HAZ_AMOUNT,64,1)="",),FALSE,TRUE),TRUE)</f>
        <v>1</v>
      </c>
      <c r="K821" t="str">
        <f t="shared" si="25"/>
        <v>Row 64 - For a ‘Transport unit’ both ‘Location on board’ and ‘Amount’ are required</v>
      </c>
      <c r="L821" t="s">
        <v>1391</v>
      </c>
    </row>
    <row r="822" spans="7:12" x14ac:dyDescent="0.25">
      <c r="G822" t="b">
        <f>IF(OR(INDEX(IHZ_HAZ_UNITTYPE,65,1)&lt;&gt;"",),IF(OR(INDEX(IHZ_HAZ_LOCATION,65,1)="",INDEX(IHZ_HAZ_AMOUNT,65,1)="",),FALSE,TRUE),TRUE)</f>
        <v>1</v>
      </c>
      <c r="H822" t="str">
        <f t="shared" si="24"/>
        <v>Row 65 - For a ‘Transport unit’ both ‘Location on board’ and ‘Amount’ are required</v>
      </c>
      <c r="I822" t="s">
        <v>1391</v>
      </c>
      <c r="J822" t="b">
        <f>IF(OR(INDEX(OHZ_HAZ_UNITTYPE,65,1)&lt;&gt;"",),IF(OR(INDEX(OHZ_HAZ_LOCATION,65,1)="",INDEX(OHZ_HAZ_AMOUNT,65,1)="",),FALSE,TRUE),TRUE)</f>
        <v>1</v>
      </c>
      <c r="K822" t="str">
        <f t="shared" si="25"/>
        <v>Row 65 - For a ‘Transport unit’ both ‘Location on board’ and ‘Amount’ are required</v>
      </c>
      <c r="L822" t="s">
        <v>1391</v>
      </c>
    </row>
    <row r="823" spans="7:12" x14ac:dyDescent="0.25">
      <c r="G823" t="b">
        <f>IF(OR(INDEX(IHZ_HAZ_UNITTYPE,66,1)&lt;&gt;"",),IF(OR(INDEX(IHZ_HAZ_LOCATION,66,1)="",INDEX(IHZ_HAZ_AMOUNT,66,1)="",),FALSE,TRUE),TRUE)</f>
        <v>1</v>
      </c>
      <c r="H823" t="str">
        <f t="shared" ref="H823:H886" si="26">T66&amp;$V$4</f>
        <v>Row 66 - For a ‘Transport unit’ both ‘Location on board’ and ‘Amount’ are required</v>
      </c>
      <c r="I823" t="s">
        <v>1391</v>
      </c>
      <c r="J823" t="b">
        <f>IF(OR(INDEX(OHZ_HAZ_UNITTYPE,66,1)&lt;&gt;"",),IF(OR(INDEX(OHZ_HAZ_LOCATION,66,1)="",INDEX(OHZ_HAZ_AMOUNT,66,1)="",),FALSE,TRUE),TRUE)</f>
        <v>1</v>
      </c>
      <c r="K823" t="str">
        <f t="shared" ref="K823:K886" si="27">T66&amp;$V$4</f>
        <v>Row 66 - For a ‘Transport unit’ both ‘Location on board’ and ‘Amount’ are required</v>
      </c>
      <c r="L823" t="s">
        <v>1391</v>
      </c>
    </row>
    <row r="824" spans="7:12" x14ac:dyDescent="0.25">
      <c r="G824" t="b">
        <f>IF(OR(INDEX(IHZ_HAZ_UNITTYPE,67,1)&lt;&gt;"",),IF(OR(INDEX(IHZ_HAZ_LOCATION,67,1)="",INDEX(IHZ_HAZ_AMOUNT,67,1)="",),FALSE,TRUE),TRUE)</f>
        <v>1</v>
      </c>
      <c r="H824" t="str">
        <f t="shared" si="26"/>
        <v>Row 67 - For a ‘Transport unit’ both ‘Location on board’ and ‘Amount’ are required</v>
      </c>
      <c r="I824" t="s">
        <v>1391</v>
      </c>
      <c r="J824" t="b">
        <f>IF(OR(INDEX(OHZ_HAZ_UNITTYPE,67,1)&lt;&gt;"",),IF(OR(INDEX(OHZ_HAZ_LOCATION,67,1)="",INDEX(OHZ_HAZ_AMOUNT,67,1)="",),FALSE,TRUE),TRUE)</f>
        <v>1</v>
      </c>
      <c r="K824" t="str">
        <f t="shared" si="27"/>
        <v>Row 67 - For a ‘Transport unit’ both ‘Location on board’ and ‘Amount’ are required</v>
      </c>
      <c r="L824" t="s">
        <v>1391</v>
      </c>
    </row>
    <row r="825" spans="7:12" x14ac:dyDescent="0.25">
      <c r="G825" t="b">
        <f>IF(OR(INDEX(IHZ_HAZ_UNITTYPE,68,1)&lt;&gt;"",),IF(OR(INDEX(IHZ_HAZ_LOCATION,68,1)="",INDEX(IHZ_HAZ_AMOUNT,68,1)="",),FALSE,TRUE),TRUE)</f>
        <v>1</v>
      </c>
      <c r="H825" t="str">
        <f t="shared" si="26"/>
        <v>Row 68 - For a ‘Transport unit’ both ‘Location on board’ and ‘Amount’ are required</v>
      </c>
      <c r="I825" t="s">
        <v>1391</v>
      </c>
      <c r="J825" t="b">
        <f>IF(OR(INDEX(OHZ_HAZ_UNITTYPE,68,1)&lt;&gt;"",),IF(OR(INDEX(OHZ_HAZ_LOCATION,68,1)="",INDEX(OHZ_HAZ_AMOUNT,68,1)="",),FALSE,TRUE),TRUE)</f>
        <v>1</v>
      </c>
      <c r="K825" t="str">
        <f t="shared" si="27"/>
        <v>Row 68 - For a ‘Transport unit’ both ‘Location on board’ and ‘Amount’ are required</v>
      </c>
      <c r="L825" t="s">
        <v>1391</v>
      </c>
    </row>
    <row r="826" spans="7:12" x14ac:dyDescent="0.25">
      <c r="G826" t="b">
        <f>IF(OR(INDEX(IHZ_HAZ_UNITTYPE,69,1)&lt;&gt;"",),IF(OR(INDEX(IHZ_HAZ_LOCATION,69,1)="",INDEX(IHZ_HAZ_AMOUNT,69,1)="",),FALSE,TRUE),TRUE)</f>
        <v>1</v>
      </c>
      <c r="H826" t="str">
        <f t="shared" si="26"/>
        <v>Row 69 - For a ‘Transport unit’ both ‘Location on board’ and ‘Amount’ are required</v>
      </c>
      <c r="I826" t="s">
        <v>1391</v>
      </c>
      <c r="J826" t="b">
        <f>IF(OR(INDEX(OHZ_HAZ_UNITTYPE,69,1)&lt;&gt;"",),IF(OR(INDEX(OHZ_HAZ_LOCATION,69,1)="",INDEX(OHZ_HAZ_AMOUNT,69,1)="",),FALSE,TRUE),TRUE)</f>
        <v>1</v>
      </c>
      <c r="K826" t="str">
        <f t="shared" si="27"/>
        <v>Row 69 - For a ‘Transport unit’ both ‘Location on board’ and ‘Amount’ are required</v>
      </c>
      <c r="L826" t="s">
        <v>1391</v>
      </c>
    </row>
    <row r="827" spans="7:12" x14ac:dyDescent="0.25">
      <c r="G827" t="b">
        <f>IF(OR(INDEX(IHZ_HAZ_UNITTYPE,70,1)&lt;&gt;"",),IF(OR(INDEX(IHZ_HAZ_LOCATION,70,1)="",INDEX(IHZ_HAZ_AMOUNT,70,1)="",),FALSE,TRUE),TRUE)</f>
        <v>1</v>
      </c>
      <c r="H827" t="str">
        <f t="shared" si="26"/>
        <v>Row 70 - For a ‘Transport unit’ both ‘Location on board’ and ‘Amount’ are required</v>
      </c>
      <c r="I827" t="s">
        <v>1391</v>
      </c>
      <c r="J827" t="b">
        <f>IF(OR(INDEX(OHZ_HAZ_UNITTYPE,70,1)&lt;&gt;"",),IF(OR(INDEX(OHZ_HAZ_LOCATION,70,1)="",INDEX(OHZ_HAZ_AMOUNT,70,1)="",),FALSE,TRUE),TRUE)</f>
        <v>1</v>
      </c>
      <c r="K827" t="str">
        <f t="shared" si="27"/>
        <v>Row 70 - For a ‘Transport unit’ both ‘Location on board’ and ‘Amount’ are required</v>
      </c>
      <c r="L827" t="s">
        <v>1391</v>
      </c>
    </row>
    <row r="828" spans="7:12" x14ac:dyDescent="0.25">
      <c r="G828" t="b">
        <f>IF(OR(INDEX(IHZ_HAZ_UNITTYPE,71,1)&lt;&gt;"",),IF(OR(INDEX(IHZ_HAZ_LOCATION,71,1)="",INDEX(IHZ_HAZ_AMOUNT,71,1)="",),FALSE,TRUE),TRUE)</f>
        <v>1</v>
      </c>
      <c r="H828" t="str">
        <f t="shared" si="26"/>
        <v>Row 71 - For a ‘Transport unit’ both ‘Location on board’ and ‘Amount’ are required</v>
      </c>
      <c r="I828" t="s">
        <v>1391</v>
      </c>
      <c r="J828" t="b">
        <f>IF(OR(INDEX(OHZ_HAZ_UNITTYPE,71,1)&lt;&gt;"",),IF(OR(INDEX(OHZ_HAZ_LOCATION,71,1)="",INDEX(OHZ_HAZ_AMOUNT,71,1)="",),FALSE,TRUE),TRUE)</f>
        <v>1</v>
      </c>
      <c r="K828" t="str">
        <f t="shared" si="27"/>
        <v>Row 71 - For a ‘Transport unit’ both ‘Location on board’ and ‘Amount’ are required</v>
      </c>
      <c r="L828" t="s">
        <v>1391</v>
      </c>
    </row>
    <row r="829" spans="7:12" x14ac:dyDescent="0.25">
      <c r="G829" t="b">
        <f>IF(OR(INDEX(IHZ_HAZ_UNITTYPE,72,1)&lt;&gt;"",),IF(OR(INDEX(IHZ_HAZ_LOCATION,72,1)="",INDEX(IHZ_HAZ_AMOUNT,72,1)="",),FALSE,TRUE),TRUE)</f>
        <v>1</v>
      </c>
      <c r="H829" t="str">
        <f t="shared" si="26"/>
        <v>Row 72 - For a ‘Transport unit’ both ‘Location on board’ and ‘Amount’ are required</v>
      </c>
      <c r="I829" t="s">
        <v>1391</v>
      </c>
      <c r="J829" t="b">
        <f>IF(OR(INDEX(OHZ_HAZ_UNITTYPE,72,1)&lt;&gt;"",),IF(OR(INDEX(OHZ_HAZ_LOCATION,72,1)="",INDEX(OHZ_HAZ_AMOUNT,72,1)="",),FALSE,TRUE),TRUE)</f>
        <v>1</v>
      </c>
      <c r="K829" t="str">
        <f t="shared" si="27"/>
        <v>Row 72 - For a ‘Transport unit’ both ‘Location on board’ and ‘Amount’ are required</v>
      </c>
      <c r="L829" t="s">
        <v>1391</v>
      </c>
    </row>
    <row r="830" spans="7:12" x14ac:dyDescent="0.25">
      <c r="G830" t="b">
        <f>IF(OR(INDEX(IHZ_HAZ_UNITTYPE,73,1)&lt;&gt;"",),IF(OR(INDEX(IHZ_HAZ_LOCATION,73,1)="",INDEX(IHZ_HAZ_AMOUNT,73,1)="",),FALSE,TRUE),TRUE)</f>
        <v>1</v>
      </c>
      <c r="H830" t="str">
        <f t="shared" si="26"/>
        <v>Row 73 - For a ‘Transport unit’ both ‘Location on board’ and ‘Amount’ are required</v>
      </c>
      <c r="I830" t="s">
        <v>1391</v>
      </c>
      <c r="J830" t="b">
        <f>IF(OR(INDEX(OHZ_HAZ_UNITTYPE,73,1)&lt;&gt;"",),IF(OR(INDEX(OHZ_HAZ_LOCATION,73,1)="",INDEX(OHZ_HAZ_AMOUNT,73,1)="",),FALSE,TRUE),TRUE)</f>
        <v>1</v>
      </c>
      <c r="K830" t="str">
        <f t="shared" si="27"/>
        <v>Row 73 - For a ‘Transport unit’ both ‘Location on board’ and ‘Amount’ are required</v>
      </c>
      <c r="L830" t="s">
        <v>1391</v>
      </c>
    </row>
    <row r="831" spans="7:12" x14ac:dyDescent="0.25">
      <c r="G831" t="b">
        <f>IF(OR(INDEX(IHZ_HAZ_UNITTYPE,74,1)&lt;&gt;"",),IF(OR(INDEX(IHZ_HAZ_LOCATION,74,1)="",INDEX(IHZ_HAZ_AMOUNT,74,1)="",),FALSE,TRUE),TRUE)</f>
        <v>1</v>
      </c>
      <c r="H831" t="str">
        <f t="shared" si="26"/>
        <v>Row 74 - For a ‘Transport unit’ both ‘Location on board’ and ‘Amount’ are required</v>
      </c>
      <c r="I831" t="s">
        <v>1391</v>
      </c>
      <c r="J831" t="b">
        <f>IF(OR(INDEX(OHZ_HAZ_UNITTYPE,74,1)&lt;&gt;"",),IF(OR(INDEX(OHZ_HAZ_LOCATION,74,1)="",INDEX(OHZ_HAZ_AMOUNT,74,1)="",),FALSE,TRUE),TRUE)</f>
        <v>1</v>
      </c>
      <c r="K831" t="str">
        <f t="shared" si="27"/>
        <v>Row 74 - For a ‘Transport unit’ both ‘Location on board’ and ‘Amount’ are required</v>
      </c>
      <c r="L831" t="s">
        <v>1391</v>
      </c>
    </row>
    <row r="832" spans="7:12" x14ac:dyDescent="0.25">
      <c r="G832" t="b">
        <f>IF(OR(INDEX(IHZ_HAZ_UNITTYPE,75,1)&lt;&gt;"",),IF(OR(INDEX(IHZ_HAZ_LOCATION,75,1)="",INDEX(IHZ_HAZ_AMOUNT,75,1)="",),FALSE,TRUE),TRUE)</f>
        <v>1</v>
      </c>
      <c r="H832" t="str">
        <f t="shared" si="26"/>
        <v>Row 75 - For a ‘Transport unit’ both ‘Location on board’ and ‘Amount’ are required</v>
      </c>
      <c r="I832" t="s">
        <v>1391</v>
      </c>
      <c r="J832" t="b">
        <f>IF(OR(INDEX(OHZ_HAZ_UNITTYPE,75,1)&lt;&gt;"",),IF(OR(INDEX(OHZ_HAZ_LOCATION,75,1)="",INDEX(OHZ_HAZ_AMOUNT,75,1)="",),FALSE,TRUE),TRUE)</f>
        <v>1</v>
      </c>
      <c r="K832" t="str">
        <f t="shared" si="27"/>
        <v>Row 75 - For a ‘Transport unit’ both ‘Location on board’ and ‘Amount’ are required</v>
      </c>
      <c r="L832" t="s">
        <v>1391</v>
      </c>
    </row>
    <row r="833" spans="7:12" x14ac:dyDescent="0.25">
      <c r="G833" t="b">
        <f>IF(OR(INDEX(IHZ_HAZ_UNITTYPE,76,1)&lt;&gt;"",),IF(OR(INDEX(IHZ_HAZ_LOCATION,76,1)="",INDEX(IHZ_HAZ_AMOUNT,76,1)="",),FALSE,TRUE),TRUE)</f>
        <v>1</v>
      </c>
      <c r="H833" t="str">
        <f t="shared" si="26"/>
        <v>Row 76 - For a ‘Transport unit’ both ‘Location on board’ and ‘Amount’ are required</v>
      </c>
      <c r="I833" t="s">
        <v>1391</v>
      </c>
      <c r="J833" t="b">
        <f>IF(OR(INDEX(OHZ_HAZ_UNITTYPE,76,1)&lt;&gt;"",),IF(OR(INDEX(OHZ_HAZ_LOCATION,76,1)="",INDEX(OHZ_HAZ_AMOUNT,76,1)="",),FALSE,TRUE),TRUE)</f>
        <v>1</v>
      </c>
      <c r="K833" t="str">
        <f t="shared" si="27"/>
        <v>Row 76 - For a ‘Transport unit’ both ‘Location on board’ and ‘Amount’ are required</v>
      </c>
      <c r="L833" t="s">
        <v>1391</v>
      </c>
    </row>
    <row r="834" spans="7:12" x14ac:dyDescent="0.25">
      <c r="G834" t="b">
        <f>IF(OR(INDEX(IHZ_HAZ_UNITTYPE,77,1)&lt;&gt;"",),IF(OR(INDEX(IHZ_HAZ_LOCATION,77,1)="",INDEX(IHZ_HAZ_AMOUNT,77,1)="",),FALSE,TRUE),TRUE)</f>
        <v>1</v>
      </c>
      <c r="H834" t="str">
        <f t="shared" si="26"/>
        <v>Row 77 - For a ‘Transport unit’ both ‘Location on board’ and ‘Amount’ are required</v>
      </c>
      <c r="I834" t="s">
        <v>1391</v>
      </c>
      <c r="J834" t="b">
        <f>IF(OR(INDEX(OHZ_HAZ_UNITTYPE,77,1)&lt;&gt;"",),IF(OR(INDEX(OHZ_HAZ_LOCATION,77,1)="",INDEX(OHZ_HAZ_AMOUNT,77,1)="",),FALSE,TRUE),TRUE)</f>
        <v>1</v>
      </c>
      <c r="K834" t="str">
        <f t="shared" si="27"/>
        <v>Row 77 - For a ‘Transport unit’ both ‘Location on board’ and ‘Amount’ are required</v>
      </c>
      <c r="L834" t="s">
        <v>1391</v>
      </c>
    </row>
    <row r="835" spans="7:12" x14ac:dyDescent="0.25">
      <c r="G835" t="b">
        <f>IF(OR(INDEX(IHZ_HAZ_UNITTYPE,78,1)&lt;&gt;"",),IF(OR(INDEX(IHZ_HAZ_LOCATION,78,1)="",INDEX(IHZ_HAZ_AMOUNT,78,1)="",),FALSE,TRUE),TRUE)</f>
        <v>1</v>
      </c>
      <c r="H835" t="str">
        <f t="shared" si="26"/>
        <v>Row 78 - For a ‘Transport unit’ both ‘Location on board’ and ‘Amount’ are required</v>
      </c>
      <c r="I835" t="s">
        <v>1391</v>
      </c>
      <c r="J835" t="b">
        <f>IF(OR(INDEX(OHZ_HAZ_UNITTYPE,78,1)&lt;&gt;"",),IF(OR(INDEX(OHZ_HAZ_LOCATION,78,1)="",INDEX(OHZ_HAZ_AMOUNT,78,1)="",),FALSE,TRUE),TRUE)</f>
        <v>1</v>
      </c>
      <c r="K835" t="str">
        <f t="shared" si="27"/>
        <v>Row 78 - For a ‘Transport unit’ both ‘Location on board’ and ‘Amount’ are required</v>
      </c>
      <c r="L835" t="s">
        <v>1391</v>
      </c>
    </row>
    <row r="836" spans="7:12" x14ac:dyDescent="0.25">
      <c r="G836" t="b">
        <f>IF(OR(INDEX(IHZ_HAZ_UNITTYPE,79,1)&lt;&gt;"",),IF(OR(INDEX(IHZ_HAZ_LOCATION,79,1)="",INDEX(IHZ_HAZ_AMOUNT,79,1)="",),FALSE,TRUE),TRUE)</f>
        <v>1</v>
      </c>
      <c r="H836" t="str">
        <f t="shared" si="26"/>
        <v>Row 79 - For a ‘Transport unit’ both ‘Location on board’ and ‘Amount’ are required</v>
      </c>
      <c r="I836" t="s">
        <v>1391</v>
      </c>
      <c r="J836" t="b">
        <f>IF(OR(INDEX(OHZ_HAZ_UNITTYPE,79,1)&lt;&gt;"",),IF(OR(INDEX(OHZ_HAZ_LOCATION,79,1)="",INDEX(OHZ_HAZ_AMOUNT,79,1)="",),FALSE,TRUE),TRUE)</f>
        <v>1</v>
      </c>
      <c r="K836" t="str">
        <f t="shared" si="27"/>
        <v>Row 79 - For a ‘Transport unit’ both ‘Location on board’ and ‘Amount’ are required</v>
      </c>
      <c r="L836" t="s">
        <v>1391</v>
      </c>
    </row>
    <row r="837" spans="7:12" x14ac:dyDescent="0.25">
      <c r="G837" t="b">
        <f>IF(OR(INDEX(IHZ_HAZ_UNITTYPE,80,1)&lt;&gt;"",),IF(OR(INDEX(IHZ_HAZ_LOCATION,80,1)="",INDEX(IHZ_HAZ_AMOUNT,80,1)="",),FALSE,TRUE),TRUE)</f>
        <v>1</v>
      </c>
      <c r="H837" t="str">
        <f t="shared" si="26"/>
        <v>Row 80 - For a ‘Transport unit’ both ‘Location on board’ and ‘Amount’ are required</v>
      </c>
      <c r="I837" t="s">
        <v>1391</v>
      </c>
      <c r="J837" t="b">
        <f>IF(OR(INDEX(OHZ_HAZ_UNITTYPE,80,1)&lt;&gt;"",),IF(OR(INDEX(OHZ_HAZ_LOCATION,80,1)="",INDEX(OHZ_HAZ_AMOUNT,80,1)="",),FALSE,TRUE),TRUE)</f>
        <v>1</v>
      </c>
      <c r="K837" t="str">
        <f t="shared" si="27"/>
        <v>Row 80 - For a ‘Transport unit’ both ‘Location on board’ and ‘Amount’ are required</v>
      </c>
      <c r="L837" t="s">
        <v>1391</v>
      </c>
    </row>
    <row r="838" spans="7:12" x14ac:dyDescent="0.25">
      <c r="G838" t="b">
        <f>IF(OR(INDEX(IHZ_HAZ_UNITTYPE,81,1)&lt;&gt;"",),IF(OR(INDEX(IHZ_HAZ_LOCATION,81,1)="",INDEX(IHZ_HAZ_AMOUNT,81,1)="",),FALSE,TRUE),TRUE)</f>
        <v>1</v>
      </c>
      <c r="H838" t="str">
        <f t="shared" si="26"/>
        <v>Row 81 - For a ‘Transport unit’ both ‘Location on board’ and ‘Amount’ are required</v>
      </c>
      <c r="I838" t="s">
        <v>1391</v>
      </c>
      <c r="J838" t="b">
        <f>IF(OR(INDEX(OHZ_HAZ_UNITTYPE,81,1)&lt;&gt;"",),IF(OR(INDEX(OHZ_HAZ_LOCATION,81,1)="",INDEX(OHZ_HAZ_AMOUNT,81,1)="",),FALSE,TRUE),TRUE)</f>
        <v>1</v>
      </c>
      <c r="K838" t="str">
        <f t="shared" si="27"/>
        <v>Row 81 - For a ‘Transport unit’ both ‘Location on board’ and ‘Amount’ are required</v>
      </c>
      <c r="L838" t="s">
        <v>1391</v>
      </c>
    </row>
    <row r="839" spans="7:12" x14ac:dyDescent="0.25">
      <c r="G839" t="b">
        <f>IF(OR(INDEX(IHZ_HAZ_UNITTYPE,82,1)&lt;&gt;"",),IF(OR(INDEX(IHZ_HAZ_LOCATION,82,1)="",INDEX(IHZ_HAZ_AMOUNT,82,1)="",),FALSE,TRUE),TRUE)</f>
        <v>1</v>
      </c>
      <c r="H839" t="str">
        <f t="shared" si="26"/>
        <v>Row 82 - For a ‘Transport unit’ both ‘Location on board’ and ‘Amount’ are required</v>
      </c>
      <c r="I839" t="s">
        <v>1391</v>
      </c>
      <c r="J839" t="b">
        <f>IF(OR(INDEX(OHZ_HAZ_UNITTYPE,82,1)&lt;&gt;"",),IF(OR(INDEX(OHZ_HAZ_LOCATION,82,1)="",INDEX(OHZ_HAZ_AMOUNT,82,1)="",),FALSE,TRUE),TRUE)</f>
        <v>1</v>
      </c>
      <c r="K839" t="str">
        <f t="shared" si="27"/>
        <v>Row 82 - For a ‘Transport unit’ both ‘Location on board’ and ‘Amount’ are required</v>
      </c>
      <c r="L839" t="s">
        <v>1391</v>
      </c>
    </row>
    <row r="840" spans="7:12" x14ac:dyDescent="0.25">
      <c r="G840" t="b">
        <f>IF(OR(INDEX(IHZ_HAZ_UNITTYPE,83,1)&lt;&gt;"",),IF(OR(INDEX(IHZ_HAZ_LOCATION,83,1)="",INDEX(IHZ_HAZ_AMOUNT,83,1)="",),FALSE,TRUE),TRUE)</f>
        <v>1</v>
      </c>
      <c r="H840" t="str">
        <f t="shared" si="26"/>
        <v>Row 83 - For a ‘Transport unit’ both ‘Location on board’ and ‘Amount’ are required</v>
      </c>
      <c r="I840" t="s">
        <v>1391</v>
      </c>
      <c r="J840" t="b">
        <f>IF(OR(INDEX(OHZ_HAZ_UNITTYPE,83,1)&lt;&gt;"",),IF(OR(INDEX(OHZ_HAZ_LOCATION,83,1)="",INDEX(OHZ_HAZ_AMOUNT,83,1)="",),FALSE,TRUE),TRUE)</f>
        <v>1</v>
      </c>
      <c r="K840" t="str">
        <f t="shared" si="27"/>
        <v>Row 83 - For a ‘Transport unit’ both ‘Location on board’ and ‘Amount’ are required</v>
      </c>
      <c r="L840" t="s">
        <v>1391</v>
      </c>
    </row>
    <row r="841" spans="7:12" x14ac:dyDescent="0.25">
      <c r="G841" t="b">
        <f>IF(OR(INDEX(IHZ_HAZ_UNITTYPE,84,1)&lt;&gt;"",),IF(OR(INDEX(IHZ_HAZ_LOCATION,84,1)="",INDEX(IHZ_HAZ_AMOUNT,84,1)="",),FALSE,TRUE),TRUE)</f>
        <v>1</v>
      </c>
      <c r="H841" t="str">
        <f t="shared" si="26"/>
        <v>Row 84 - For a ‘Transport unit’ both ‘Location on board’ and ‘Amount’ are required</v>
      </c>
      <c r="I841" t="s">
        <v>1391</v>
      </c>
      <c r="J841" t="b">
        <f>IF(OR(INDEX(OHZ_HAZ_UNITTYPE,84,1)&lt;&gt;"",),IF(OR(INDEX(OHZ_HAZ_LOCATION,84,1)="",INDEX(OHZ_HAZ_AMOUNT,84,1)="",),FALSE,TRUE),TRUE)</f>
        <v>1</v>
      </c>
      <c r="K841" t="str">
        <f t="shared" si="27"/>
        <v>Row 84 - For a ‘Transport unit’ both ‘Location on board’ and ‘Amount’ are required</v>
      </c>
      <c r="L841" t="s">
        <v>1391</v>
      </c>
    </row>
    <row r="842" spans="7:12" x14ac:dyDescent="0.25">
      <c r="G842" t="b">
        <f>IF(OR(INDEX(IHZ_HAZ_UNITTYPE,85,1)&lt;&gt;"",),IF(OR(INDEX(IHZ_HAZ_LOCATION,85,1)="",INDEX(IHZ_HAZ_AMOUNT,85,1)="",),FALSE,TRUE),TRUE)</f>
        <v>1</v>
      </c>
      <c r="H842" t="str">
        <f t="shared" si="26"/>
        <v>Row 85 - For a ‘Transport unit’ both ‘Location on board’ and ‘Amount’ are required</v>
      </c>
      <c r="I842" t="s">
        <v>1391</v>
      </c>
      <c r="J842" t="b">
        <f>IF(OR(INDEX(OHZ_HAZ_UNITTYPE,85,1)&lt;&gt;"",),IF(OR(INDEX(OHZ_HAZ_LOCATION,85,1)="",INDEX(OHZ_HAZ_AMOUNT,85,1)="",),FALSE,TRUE),TRUE)</f>
        <v>1</v>
      </c>
      <c r="K842" t="str">
        <f t="shared" si="27"/>
        <v>Row 85 - For a ‘Transport unit’ both ‘Location on board’ and ‘Amount’ are required</v>
      </c>
      <c r="L842" t="s">
        <v>1391</v>
      </c>
    </row>
    <row r="843" spans="7:12" x14ac:dyDescent="0.25">
      <c r="G843" t="b">
        <f>IF(OR(INDEX(IHZ_HAZ_UNITTYPE,86,1)&lt;&gt;"",),IF(OR(INDEX(IHZ_HAZ_LOCATION,86,1)="",INDEX(IHZ_HAZ_AMOUNT,86,1)="",),FALSE,TRUE),TRUE)</f>
        <v>1</v>
      </c>
      <c r="H843" t="str">
        <f t="shared" si="26"/>
        <v>Row 86 - For a ‘Transport unit’ both ‘Location on board’ and ‘Amount’ are required</v>
      </c>
      <c r="I843" t="s">
        <v>1391</v>
      </c>
      <c r="J843" t="b">
        <f>IF(OR(INDEX(OHZ_HAZ_UNITTYPE,86,1)&lt;&gt;"",),IF(OR(INDEX(OHZ_HAZ_LOCATION,86,1)="",INDEX(OHZ_HAZ_AMOUNT,86,1)="",),FALSE,TRUE),TRUE)</f>
        <v>1</v>
      </c>
      <c r="K843" t="str">
        <f t="shared" si="27"/>
        <v>Row 86 - For a ‘Transport unit’ both ‘Location on board’ and ‘Amount’ are required</v>
      </c>
      <c r="L843" t="s">
        <v>1391</v>
      </c>
    </row>
    <row r="844" spans="7:12" x14ac:dyDescent="0.25">
      <c r="G844" t="b">
        <f>IF(OR(INDEX(IHZ_HAZ_UNITTYPE,87,1)&lt;&gt;"",),IF(OR(INDEX(IHZ_HAZ_LOCATION,87,1)="",INDEX(IHZ_HAZ_AMOUNT,87,1)="",),FALSE,TRUE),TRUE)</f>
        <v>1</v>
      </c>
      <c r="H844" t="str">
        <f t="shared" si="26"/>
        <v>Row 87 - For a ‘Transport unit’ both ‘Location on board’ and ‘Amount’ are required</v>
      </c>
      <c r="I844" t="s">
        <v>1391</v>
      </c>
      <c r="J844" t="b">
        <f>IF(OR(INDEX(OHZ_HAZ_UNITTYPE,87,1)&lt;&gt;"",),IF(OR(INDEX(OHZ_HAZ_LOCATION,87,1)="",INDEX(OHZ_HAZ_AMOUNT,87,1)="",),FALSE,TRUE),TRUE)</f>
        <v>1</v>
      </c>
      <c r="K844" t="str">
        <f t="shared" si="27"/>
        <v>Row 87 - For a ‘Transport unit’ both ‘Location on board’ and ‘Amount’ are required</v>
      </c>
      <c r="L844" t="s">
        <v>1391</v>
      </c>
    </row>
    <row r="845" spans="7:12" x14ac:dyDescent="0.25">
      <c r="G845" t="b">
        <f>IF(OR(INDEX(IHZ_HAZ_UNITTYPE,88,1)&lt;&gt;"",),IF(OR(INDEX(IHZ_HAZ_LOCATION,88,1)="",INDEX(IHZ_HAZ_AMOUNT,88,1)="",),FALSE,TRUE),TRUE)</f>
        <v>1</v>
      </c>
      <c r="H845" t="str">
        <f t="shared" si="26"/>
        <v>Row 88 - For a ‘Transport unit’ both ‘Location on board’ and ‘Amount’ are required</v>
      </c>
      <c r="I845" t="s">
        <v>1391</v>
      </c>
      <c r="J845" t="b">
        <f>IF(OR(INDEX(OHZ_HAZ_UNITTYPE,88,1)&lt;&gt;"",),IF(OR(INDEX(OHZ_HAZ_LOCATION,88,1)="",INDEX(OHZ_HAZ_AMOUNT,88,1)="",),FALSE,TRUE),TRUE)</f>
        <v>1</v>
      </c>
      <c r="K845" t="str">
        <f t="shared" si="27"/>
        <v>Row 88 - For a ‘Transport unit’ both ‘Location on board’ and ‘Amount’ are required</v>
      </c>
      <c r="L845" t="s">
        <v>1391</v>
      </c>
    </row>
    <row r="846" spans="7:12" x14ac:dyDescent="0.25">
      <c r="G846" t="b">
        <f>IF(OR(INDEX(IHZ_HAZ_UNITTYPE,89,1)&lt;&gt;"",),IF(OR(INDEX(IHZ_HAZ_LOCATION,89,1)="",INDEX(IHZ_HAZ_AMOUNT,89,1)="",),FALSE,TRUE),TRUE)</f>
        <v>1</v>
      </c>
      <c r="H846" t="str">
        <f t="shared" si="26"/>
        <v>Row 89 - For a ‘Transport unit’ both ‘Location on board’ and ‘Amount’ are required</v>
      </c>
      <c r="I846" t="s">
        <v>1391</v>
      </c>
      <c r="J846" t="b">
        <f>IF(OR(INDEX(OHZ_HAZ_UNITTYPE,89,1)&lt;&gt;"",),IF(OR(INDEX(OHZ_HAZ_LOCATION,89,1)="",INDEX(OHZ_HAZ_AMOUNT,89,1)="",),FALSE,TRUE),TRUE)</f>
        <v>1</v>
      </c>
      <c r="K846" t="str">
        <f t="shared" si="27"/>
        <v>Row 89 - For a ‘Transport unit’ both ‘Location on board’ and ‘Amount’ are required</v>
      </c>
      <c r="L846" t="s">
        <v>1391</v>
      </c>
    </row>
    <row r="847" spans="7:12" x14ac:dyDescent="0.25">
      <c r="G847" t="b">
        <f>IF(OR(INDEX(IHZ_HAZ_UNITTYPE,90,1)&lt;&gt;"",),IF(OR(INDEX(IHZ_HAZ_LOCATION,90,1)="",INDEX(IHZ_HAZ_AMOUNT,90,1)="",),FALSE,TRUE),TRUE)</f>
        <v>1</v>
      </c>
      <c r="H847" t="str">
        <f t="shared" si="26"/>
        <v>Row 90 - For a ‘Transport unit’ both ‘Location on board’ and ‘Amount’ are required</v>
      </c>
      <c r="I847" t="s">
        <v>1391</v>
      </c>
      <c r="J847" t="b">
        <f>IF(OR(INDEX(OHZ_HAZ_UNITTYPE,90,1)&lt;&gt;"",),IF(OR(INDEX(OHZ_HAZ_LOCATION,90,1)="",INDEX(OHZ_HAZ_AMOUNT,90,1)="",),FALSE,TRUE),TRUE)</f>
        <v>1</v>
      </c>
      <c r="K847" t="str">
        <f t="shared" si="27"/>
        <v>Row 90 - For a ‘Transport unit’ both ‘Location on board’ and ‘Amount’ are required</v>
      </c>
      <c r="L847" t="s">
        <v>1391</v>
      </c>
    </row>
    <row r="848" spans="7:12" x14ac:dyDescent="0.25">
      <c r="G848" t="b">
        <f>IF(OR(INDEX(IHZ_HAZ_UNITTYPE,91,1)&lt;&gt;"",),IF(OR(INDEX(IHZ_HAZ_LOCATION,91,1)="",INDEX(IHZ_HAZ_AMOUNT,91,1)="",),FALSE,TRUE),TRUE)</f>
        <v>1</v>
      </c>
      <c r="H848" t="str">
        <f t="shared" si="26"/>
        <v>Row 91 - For a ‘Transport unit’ both ‘Location on board’ and ‘Amount’ are required</v>
      </c>
      <c r="I848" t="s">
        <v>1391</v>
      </c>
      <c r="J848" t="b">
        <f>IF(OR(INDEX(OHZ_HAZ_UNITTYPE,91,1)&lt;&gt;"",),IF(OR(INDEX(OHZ_HAZ_LOCATION,91,1)="",INDEX(OHZ_HAZ_AMOUNT,91,1)="",),FALSE,TRUE),TRUE)</f>
        <v>1</v>
      </c>
      <c r="K848" t="str">
        <f t="shared" si="27"/>
        <v>Row 91 - For a ‘Transport unit’ both ‘Location on board’ and ‘Amount’ are required</v>
      </c>
      <c r="L848" t="s">
        <v>1391</v>
      </c>
    </row>
    <row r="849" spans="7:12" x14ac:dyDescent="0.25">
      <c r="G849" t="b">
        <f>IF(OR(INDEX(IHZ_HAZ_UNITTYPE,92,1)&lt;&gt;"",),IF(OR(INDEX(IHZ_HAZ_LOCATION,92,1)="",INDEX(IHZ_HAZ_AMOUNT,92,1)="",),FALSE,TRUE),TRUE)</f>
        <v>1</v>
      </c>
      <c r="H849" t="str">
        <f t="shared" si="26"/>
        <v>Row 92 - For a ‘Transport unit’ both ‘Location on board’ and ‘Amount’ are required</v>
      </c>
      <c r="I849" t="s">
        <v>1391</v>
      </c>
      <c r="J849" t="b">
        <f>IF(OR(INDEX(OHZ_HAZ_UNITTYPE,92,1)&lt;&gt;"",),IF(OR(INDEX(OHZ_HAZ_LOCATION,92,1)="",INDEX(OHZ_HAZ_AMOUNT,92,1)="",),FALSE,TRUE),TRUE)</f>
        <v>1</v>
      </c>
      <c r="K849" t="str">
        <f t="shared" si="27"/>
        <v>Row 92 - For a ‘Transport unit’ both ‘Location on board’ and ‘Amount’ are required</v>
      </c>
      <c r="L849" t="s">
        <v>1391</v>
      </c>
    </row>
    <row r="850" spans="7:12" x14ac:dyDescent="0.25">
      <c r="G850" t="b">
        <f>IF(OR(INDEX(IHZ_HAZ_UNITTYPE,93,1)&lt;&gt;"",),IF(OR(INDEX(IHZ_HAZ_LOCATION,93,1)="",INDEX(IHZ_HAZ_AMOUNT,93,1)="",),FALSE,TRUE),TRUE)</f>
        <v>1</v>
      </c>
      <c r="H850" t="str">
        <f t="shared" si="26"/>
        <v>Row 93 - For a ‘Transport unit’ both ‘Location on board’ and ‘Amount’ are required</v>
      </c>
      <c r="I850" t="s">
        <v>1391</v>
      </c>
      <c r="J850" t="b">
        <f>IF(OR(INDEX(OHZ_HAZ_UNITTYPE,93,1)&lt;&gt;"",),IF(OR(INDEX(OHZ_HAZ_LOCATION,93,1)="",INDEX(OHZ_HAZ_AMOUNT,93,1)="",),FALSE,TRUE),TRUE)</f>
        <v>1</v>
      </c>
      <c r="K850" t="str">
        <f t="shared" si="27"/>
        <v>Row 93 - For a ‘Transport unit’ both ‘Location on board’ and ‘Amount’ are required</v>
      </c>
      <c r="L850" t="s">
        <v>1391</v>
      </c>
    </row>
    <row r="851" spans="7:12" x14ac:dyDescent="0.25">
      <c r="G851" t="b">
        <f>IF(OR(INDEX(IHZ_HAZ_UNITTYPE,94,1)&lt;&gt;"",),IF(OR(INDEX(IHZ_HAZ_LOCATION,94,1)="",INDEX(IHZ_HAZ_AMOUNT,94,1)="",),FALSE,TRUE),TRUE)</f>
        <v>1</v>
      </c>
      <c r="H851" t="str">
        <f t="shared" si="26"/>
        <v>Row 94 - For a ‘Transport unit’ both ‘Location on board’ and ‘Amount’ are required</v>
      </c>
      <c r="I851" t="s">
        <v>1391</v>
      </c>
      <c r="J851" t="b">
        <f>IF(OR(INDEX(OHZ_HAZ_UNITTYPE,94,1)&lt;&gt;"",),IF(OR(INDEX(OHZ_HAZ_LOCATION,94,1)="",INDEX(OHZ_HAZ_AMOUNT,94,1)="",),FALSE,TRUE),TRUE)</f>
        <v>1</v>
      </c>
      <c r="K851" t="str">
        <f t="shared" si="27"/>
        <v>Row 94 - For a ‘Transport unit’ both ‘Location on board’ and ‘Amount’ are required</v>
      </c>
      <c r="L851" t="s">
        <v>1391</v>
      </c>
    </row>
    <row r="852" spans="7:12" x14ac:dyDescent="0.25">
      <c r="G852" t="b">
        <f>IF(OR(INDEX(IHZ_HAZ_UNITTYPE,95,1)&lt;&gt;"",),IF(OR(INDEX(IHZ_HAZ_LOCATION,95,1)="",INDEX(IHZ_HAZ_AMOUNT,95,1)="",),FALSE,TRUE),TRUE)</f>
        <v>1</v>
      </c>
      <c r="H852" t="str">
        <f t="shared" si="26"/>
        <v>Row 95 - For a ‘Transport unit’ both ‘Location on board’ and ‘Amount’ are required</v>
      </c>
      <c r="I852" t="s">
        <v>1391</v>
      </c>
      <c r="J852" t="b">
        <f>IF(OR(INDEX(OHZ_HAZ_UNITTYPE,95,1)&lt;&gt;"",),IF(OR(INDEX(OHZ_HAZ_LOCATION,95,1)="",INDEX(OHZ_HAZ_AMOUNT,95,1)="",),FALSE,TRUE),TRUE)</f>
        <v>1</v>
      </c>
      <c r="K852" t="str">
        <f t="shared" si="27"/>
        <v>Row 95 - For a ‘Transport unit’ both ‘Location on board’ and ‘Amount’ are required</v>
      </c>
      <c r="L852" t="s">
        <v>1391</v>
      </c>
    </row>
    <row r="853" spans="7:12" x14ac:dyDescent="0.25">
      <c r="G853" t="b">
        <f>IF(OR(INDEX(IHZ_HAZ_UNITTYPE,96,1)&lt;&gt;"",),IF(OR(INDEX(IHZ_HAZ_LOCATION,96,1)="",INDEX(IHZ_HAZ_AMOUNT,96,1)="",),FALSE,TRUE),TRUE)</f>
        <v>1</v>
      </c>
      <c r="H853" t="str">
        <f t="shared" si="26"/>
        <v>Row 96 - For a ‘Transport unit’ both ‘Location on board’ and ‘Amount’ are required</v>
      </c>
      <c r="I853" t="s">
        <v>1391</v>
      </c>
      <c r="J853" t="b">
        <f>IF(OR(INDEX(OHZ_HAZ_UNITTYPE,96,1)&lt;&gt;"",),IF(OR(INDEX(OHZ_HAZ_LOCATION,96,1)="",INDEX(OHZ_HAZ_AMOUNT,96,1)="",),FALSE,TRUE),TRUE)</f>
        <v>1</v>
      </c>
      <c r="K853" t="str">
        <f t="shared" si="27"/>
        <v>Row 96 - For a ‘Transport unit’ both ‘Location on board’ and ‘Amount’ are required</v>
      </c>
      <c r="L853" t="s">
        <v>1391</v>
      </c>
    </row>
    <row r="854" spans="7:12" x14ac:dyDescent="0.25">
      <c r="G854" t="b">
        <f>IF(OR(INDEX(IHZ_HAZ_UNITTYPE,97,1)&lt;&gt;"",),IF(OR(INDEX(IHZ_HAZ_LOCATION,97,1)="",INDEX(IHZ_HAZ_AMOUNT,97,1)="",),FALSE,TRUE),TRUE)</f>
        <v>1</v>
      </c>
      <c r="H854" t="str">
        <f t="shared" si="26"/>
        <v>Row 97 - For a ‘Transport unit’ both ‘Location on board’ and ‘Amount’ are required</v>
      </c>
      <c r="I854" t="s">
        <v>1391</v>
      </c>
      <c r="J854" t="b">
        <f>IF(OR(INDEX(OHZ_HAZ_UNITTYPE,97,1)&lt;&gt;"",),IF(OR(INDEX(OHZ_HAZ_LOCATION,97,1)="",INDEX(OHZ_HAZ_AMOUNT,97,1)="",),FALSE,TRUE),TRUE)</f>
        <v>1</v>
      </c>
      <c r="K854" t="str">
        <f t="shared" si="27"/>
        <v>Row 97 - For a ‘Transport unit’ both ‘Location on board’ and ‘Amount’ are required</v>
      </c>
      <c r="L854" t="s">
        <v>1391</v>
      </c>
    </row>
    <row r="855" spans="7:12" x14ac:dyDescent="0.25">
      <c r="G855" t="b">
        <f>IF(OR(INDEX(IHZ_HAZ_UNITTYPE,98,1)&lt;&gt;"",),IF(OR(INDEX(IHZ_HAZ_LOCATION,98,1)="",INDEX(IHZ_HAZ_AMOUNT,98,1)="",),FALSE,TRUE),TRUE)</f>
        <v>1</v>
      </c>
      <c r="H855" t="str">
        <f t="shared" si="26"/>
        <v>Row 98 - For a ‘Transport unit’ both ‘Location on board’ and ‘Amount’ are required</v>
      </c>
      <c r="I855" t="s">
        <v>1391</v>
      </c>
      <c r="J855" t="b">
        <f>IF(OR(INDEX(OHZ_HAZ_UNITTYPE,98,1)&lt;&gt;"",),IF(OR(INDEX(OHZ_HAZ_LOCATION,98,1)="",INDEX(OHZ_HAZ_AMOUNT,98,1)="",),FALSE,TRUE),TRUE)</f>
        <v>1</v>
      </c>
      <c r="K855" t="str">
        <f t="shared" si="27"/>
        <v>Row 98 - For a ‘Transport unit’ both ‘Location on board’ and ‘Amount’ are required</v>
      </c>
      <c r="L855" t="s">
        <v>1391</v>
      </c>
    </row>
    <row r="856" spans="7:12" x14ac:dyDescent="0.25">
      <c r="G856" t="b">
        <f>IF(OR(INDEX(IHZ_HAZ_UNITTYPE,99,1)&lt;&gt;"",),IF(OR(INDEX(IHZ_HAZ_LOCATION,99,1)="",INDEX(IHZ_HAZ_AMOUNT,99,1)="",),FALSE,TRUE),TRUE)</f>
        <v>1</v>
      </c>
      <c r="H856" t="str">
        <f t="shared" si="26"/>
        <v>Row 99 - For a ‘Transport unit’ both ‘Location on board’ and ‘Amount’ are required</v>
      </c>
      <c r="I856" t="s">
        <v>1391</v>
      </c>
      <c r="J856" t="b">
        <f>IF(OR(INDEX(OHZ_HAZ_UNITTYPE,99,1)&lt;&gt;"",),IF(OR(INDEX(OHZ_HAZ_LOCATION,99,1)="",INDEX(OHZ_HAZ_AMOUNT,99,1)="",),FALSE,TRUE),TRUE)</f>
        <v>1</v>
      </c>
      <c r="K856" t="str">
        <f t="shared" si="27"/>
        <v>Row 99 - For a ‘Transport unit’ both ‘Location on board’ and ‘Amount’ are required</v>
      </c>
      <c r="L856" t="s">
        <v>1391</v>
      </c>
    </row>
    <row r="857" spans="7:12" x14ac:dyDescent="0.25">
      <c r="G857" t="b">
        <f>IF(OR(INDEX(IHZ_HAZ_UNITTYPE,100,1)&lt;&gt;"",),IF(OR(INDEX(IHZ_HAZ_LOCATION,100,1)="",INDEX(IHZ_HAZ_AMOUNT,100,1)="",),FALSE,TRUE),TRUE)</f>
        <v>1</v>
      </c>
      <c r="H857" t="str">
        <f t="shared" si="26"/>
        <v>Row 100 - For a ‘Transport unit’ both ‘Location on board’ and ‘Amount’ are required</v>
      </c>
      <c r="I857" t="s">
        <v>1391</v>
      </c>
      <c r="J857" t="b">
        <f>IF(OR(INDEX(OHZ_HAZ_UNITTYPE,100,1)&lt;&gt;"",),IF(OR(INDEX(OHZ_HAZ_LOCATION,100,1)="",INDEX(OHZ_HAZ_AMOUNT,100,1)="",),FALSE,TRUE),TRUE)</f>
        <v>1</v>
      </c>
      <c r="K857" t="str">
        <f t="shared" si="27"/>
        <v>Row 100 - For a ‘Transport unit’ both ‘Location on board’ and ‘Amount’ are required</v>
      </c>
      <c r="L857" t="s">
        <v>1391</v>
      </c>
    </row>
    <row r="858" spans="7:12" x14ac:dyDescent="0.25">
      <c r="G858" t="b">
        <f>IF(OR(INDEX(IHZ_HAZ_UNITTYPE,101,1)&lt;&gt;"",),IF(OR(INDEX(IHZ_HAZ_LOCATION,101,1)="",INDEX(IHZ_HAZ_AMOUNT,101,1)="",),FALSE,TRUE),TRUE)</f>
        <v>1</v>
      </c>
      <c r="H858" t="str">
        <f t="shared" si="26"/>
        <v>Row 101 - For a ‘Transport unit’ both ‘Location on board’ and ‘Amount’ are required</v>
      </c>
      <c r="I858" t="s">
        <v>1391</v>
      </c>
      <c r="J858" t="b">
        <f>IF(OR(INDEX(OHZ_HAZ_UNITTYPE,101,1)&lt;&gt;"",),IF(OR(INDEX(OHZ_HAZ_LOCATION,101,1)="",INDEX(OHZ_HAZ_AMOUNT,101,1)="",),FALSE,TRUE),TRUE)</f>
        <v>1</v>
      </c>
      <c r="K858" t="str">
        <f t="shared" si="27"/>
        <v>Row 101 - For a ‘Transport unit’ both ‘Location on board’ and ‘Amount’ are required</v>
      </c>
      <c r="L858" t="s">
        <v>1391</v>
      </c>
    </row>
    <row r="859" spans="7:12" x14ac:dyDescent="0.25">
      <c r="G859" t="b">
        <f>IF(OR(INDEX(IHZ_HAZ_UNITTYPE,102,1)&lt;&gt;"",),IF(OR(INDEX(IHZ_HAZ_LOCATION,102,1)="",INDEX(IHZ_HAZ_AMOUNT,102,1)="",),FALSE,TRUE),TRUE)</f>
        <v>1</v>
      </c>
      <c r="H859" t="str">
        <f t="shared" si="26"/>
        <v>Row 102 - For a ‘Transport unit’ both ‘Location on board’ and ‘Amount’ are required</v>
      </c>
      <c r="I859" t="s">
        <v>1391</v>
      </c>
      <c r="J859" t="b">
        <f>IF(OR(INDEX(OHZ_HAZ_UNITTYPE,102,1)&lt;&gt;"",),IF(OR(INDEX(OHZ_HAZ_LOCATION,102,1)="",INDEX(OHZ_HAZ_AMOUNT,102,1)="",),FALSE,TRUE),TRUE)</f>
        <v>1</v>
      </c>
      <c r="K859" t="str">
        <f t="shared" si="27"/>
        <v>Row 102 - For a ‘Transport unit’ both ‘Location on board’ and ‘Amount’ are required</v>
      </c>
      <c r="L859" t="s">
        <v>1391</v>
      </c>
    </row>
    <row r="860" spans="7:12" x14ac:dyDescent="0.25">
      <c r="G860" t="b">
        <f>IF(OR(INDEX(IHZ_HAZ_UNITTYPE,103,1)&lt;&gt;"",),IF(OR(INDEX(IHZ_HAZ_LOCATION,103,1)="",INDEX(IHZ_HAZ_AMOUNT,103,1)="",),FALSE,TRUE),TRUE)</f>
        <v>1</v>
      </c>
      <c r="H860" t="str">
        <f t="shared" si="26"/>
        <v>Row 103 - For a ‘Transport unit’ both ‘Location on board’ and ‘Amount’ are required</v>
      </c>
      <c r="I860" t="s">
        <v>1391</v>
      </c>
      <c r="J860" t="b">
        <f>IF(OR(INDEX(OHZ_HAZ_UNITTYPE,103,1)&lt;&gt;"",),IF(OR(INDEX(OHZ_HAZ_LOCATION,103,1)="",INDEX(OHZ_HAZ_AMOUNT,103,1)="",),FALSE,TRUE),TRUE)</f>
        <v>1</v>
      </c>
      <c r="K860" t="str">
        <f t="shared" si="27"/>
        <v>Row 103 - For a ‘Transport unit’ both ‘Location on board’ and ‘Amount’ are required</v>
      </c>
      <c r="L860" t="s">
        <v>1391</v>
      </c>
    </row>
    <row r="861" spans="7:12" x14ac:dyDescent="0.25">
      <c r="G861" t="b">
        <f>IF(OR(INDEX(IHZ_HAZ_UNITTYPE,104,1)&lt;&gt;"",),IF(OR(INDEX(IHZ_HAZ_LOCATION,104,1)="",INDEX(IHZ_HAZ_AMOUNT,104,1)="",),FALSE,TRUE),TRUE)</f>
        <v>1</v>
      </c>
      <c r="H861" t="str">
        <f t="shared" si="26"/>
        <v>Row 104 - For a ‘Transport unit’ both ‘Location on board’ and ‘Amount’ are required</v>
      </c>
      <c r="I861" t="s">
        <v>1391</v>
      </c>
      <c r="J861" t="b">
        <f>IF(OR(INDEX(OHZ_HAZ_UNITTYPE,104,1)&lt;&gt;"",),IF(OR(INDEX(OHZ_HAZ_LOCATION,104,1)="",INDEX(OHZ_HAZ_AMOUNT,104,1)="",),FALSE,TRUE),TRUE)</f>
        <v>1</v>
      </c>
      <c r="K861" t="str">
        <f t="shared" si="27"/>
        <v>Row 104 - For a ‘Transport unit’ both ‘Location on board’ and ‘Amount’ are required</v>
      </c>
      <c r="L861" t="s">
        <v>1391</v>
      </c>
    </row>
    <row r="862" spans="7:12" x14ac:dyDescent="0.25">
      <c r="G862" t="b">
        <f>IF(OR(INDEX(IHZ_HAZ_UNITTYPE,105,1)&lt;&gt;"",),IF(OR(INDEX(IHZ_HAZ_LOCATION,105,1)="",INDEX(IHZ_HAZ_AMOUNT,105,1)="",),FALSE,TRUE),TRUE)</f>
        <v>1</v>
      </c>
      <c r="H862" t="str">
        <f t="shared" si="26"/>
        <v>Row 105 - For a ‘Transport unit’ both ‘Location on board’ and ‘Amount’ are required</v>
      </c>
      <c r="I862" t="s">
        <v>1391</v>
      </c>
      <c r="J862" t="b">
        <f>IF(OR(INDEX(OHZ_HAZ_UNITTYPE,105,1)&lt;&gt;"",),IF(OR(INDEX(OHZ_HAZ_LOCATION,105,1)="",INDEX(OHZ_HAZ_AMOUNT,105,1)="",),FALSE,TRUE),TRUE)</f>
        <v>1</v>
      </c>
      <c r="K862" t="str">
        <f t="shared" si="27"/>
        <v>Row 105 - For a ‘Transport unit’ both ‘Location on board’ and ‘Amount’ are required</v>
      </c>
      <c r="L862" t="s">
        <v>1391</v>
      </c>
    </row>
    <row r="863" spans="7:12" x14ac:dyDescent="0.25">
      <c r="G863" t="b">
        <f>IF(OR(INDEX(IHZ_HAZ_UNITTYPE,106,1)&lt;&gt;"",),IF(OR(INDEX(IHZ_HAZ_LOCATION,106,1)="",INDEX(IHZ_HAZ_AMOUNT,106,1)="",),FALSE,TRUE),TRUE)</f>
        <v>1</v>
      </c>
      <c r="H863" t="str">
        <f t="shared" si="26"/>
        <v>Row 106 - For a ‘Transport unit’ both ‘Location on board’ and ‘Amount’ are required</v>
      </c>
      <c r="I863" t="s">
        <v>1391</v>
      </c>
      <c r="J863" t="b">
        <f>IF(OR(INDEX(OHZ_HAZ_UNITTYPE,106,1)&lt;&gt;"",),IF(OR(INDEX(OHZ_HAZ_LOCATION,106,1)="",INDEX(OHZ_HAZ_AMOUNT,106,1)="",),FALSE,TRUE),TRUE)</f>
        <v>1</v>
      </c>
      <c r="K863" t="str">
        <f t="shared" si="27"/>
        <v>Row 106 - For a ‘Transport unit’ both ‘Location on board’ and ‘Amount’ are required</v>
      </c>
      <c r="L863" t="s">
        <v>1391</v>
      </c>
    </row>
    <row r="864" spans="7:12" x14ac:dyDescent="0.25">
      <c r="G864" t="b">
        <f>IF(OR(INDEX(IHZ_HAZ_UNITTYPE,107,1)&lt;&gt;"",),IF(OR(INDEX(IHZ_HAZ_LOCATION,107,1)="",INDEX(IHZ_HAZ_AMOUNT,107,1)="",),FALSE,TRUE),TRUE)</f>
        <v>1</v>
      </c>
      <c r="H864" t="str">
        <f t="shared" si="26"/>
        <v>Row 107 - For a ‘Transport unit’ both ‘Location on board’ and ‘Amount’ are required</v>
      </c>
      <c r="I864" t="s">
        <v>1391</v>
      </c>
      <c r="J864" t="b">
        <f>IF(OR(INDEX(OHZ_HAZ_UNITTYPE,107,1)&lt;&gt;"",),IF(OR(INDEX(OHZ_HAZ_LOCATION,107,1)="",INDEX(OHZ_HAZ_AMOUNT,107,1)="",),FALSE,TRUE),TRUE)</f>
        <v>1</v>
      </c>
      <c r="K864" t="str">
        <f t="shared" si="27"/>
        <v>Row 107 - For a ‘Transport unit’ both ‘Location on board’ and ‘Amount’ are required</v>
      </c>
      <c r="L864" t="s">
        <v>1391</v>
      </c>
    </row>
    <row r="865" spans="7:12" x14ac:dyDescent="0.25">
      <c r="G865" t="b">
        <f>IF(OR(INDEX(IHZ_HAZ_UNITTYPE,108,1)&lt;&gt;"",),IF(OR(INDEX(IHZ_HAZ_LOCATION,108,1)="",INDEX(IHZ_HAZ_AMOUNT,108,1)="",),FALSE,TRUE),TRUE)</f>
        <v>1</v>
      </c>
      <c r="H865" t="str">
        <f t="shared" si="26"/>
        <v>Row 108 - For a ‘Transport unit’ both ‘Location on board’ and ‘Amount’ are required</v>
      </c>
      <c r="I865" t="s">
        <v>1391</v>
      </c>
      <c r="J865" t="b">
        <f>IF(OR(INDEX(OHZ_HAZ_UNITTYPE,108,1)&lt;&gt;"",),IF(OR(INDEX(OHZ_HAZ_LOCATION,108,1)="",INDEX(OHZ_HAZ_AMOUNT,108,1)="",),FALSE,TRUE),TRUE)</f>
        <v>1</v>
      </c>
      <c r="K865" t="str">
        <f t="shared" si="27"/>
        <v>Row 108 - For a ‘Transport unit’ both ‘Location on board’ and ‘Amount’ are required</v>
      </c>
      <c r="L865" t="s">
        <v>1391</v>
      </c>
    </row>
    <row r="866" spans="7:12" x14ac:dyDescent="0.25">
      <c r="G866" t="b">
        <f>IF(OR(INDEX(IHZ_HAZ_UNITTYPE,109,1)&lt;&gt;"",),IF(OR(INDEX(IHZ_HAZ_LOCATION,109,1)="",INDEX(IHZ_HAZ_AMOUNT,109,1)="",),FALSE,TRUE),TRUE)</f>
        <v>1</v>
      </c>
      <c r="H866" t="str">
        <f t="shared" si="26"/>
        <v>Row 109 - For a ‘Transport unit’ both ‘Location on board’ and ‘Amount’ are required</v>
      </c>
      <c r="I866" t="s">
        <v>1391</v>
      </c>
      <c r="J866" t="b">
        <f>IF(OR(INDEX(OHZ_HAZ_UNITTYPE,109,1)&lt;&gt;"",),IF(OR(INDEX(OHZ_HAZ_LOCATION,109,1)="",INDEX(OHZ_HAZ_AMOUNT,109,1)="",),FALSE,TRUE),TRUE)</f>
        <v>1</v>
      </c>
      <c r="K866" t="str">
        <f t="shared" si="27"/>
        <v>Row 109 - For a ‘Transport unit’ both ‘Location on board’ and ‘Amount’ are required</v>
      </c>
      <c r="L866" t="s">
        <v>1391</v>
      </c>
    </row>
    <row r="867" spans="7:12" x14ac:dyDescent="0.25">
      <c r="G867" t="b">
        <f>IF(OR(INDEX(IHZ_HAZ_UNITTYPE,110,1)&lt;&gt;"",),IF(OR(INDEX(IHZ_HAZ_LOCATION,110,1)="",INDEX(IHZ_HAZ_AMOUNT,110,1)="",),FALSE,TRUE),TRUE)</f>
        <v>1</v>
      </c>
      <c r="H867" t="str">
        <f t="shared" si="26"/>
        <v>Row 110 - For a ‘Transport unit’ both ‘Location on board’ and ‘Amount’ are required</v>
      </c>
      <c r="I867" t="s">
        <v>1391</v>
      </c>
      <c r="J867" t="b">
        <f>IF(OR(INDEX(OHZ_HAZ_UNITTYPE,110,1)&lt;&gt;"",),IF(OR(INDEX(OHZ_HAZ_LOCATION,110,1)="",INDEX(OHZ_HAZ_AMOUNT,110,1)="",),FALSE,TRUE),TRUE)</f>
        <v>1</v>
      </c>
      <c r="K867" t="str">
        <f t="shared" si="27"/>
        <v>Row 110 - For a ‘Transport unit’ both ‘Location on board’ and ‘Amount’ are required</v>
      </c>
      <c r="L867" t="s">
        <v>1391</v>
      </c>
    </row>
    <row r="868" spans="7:12" x14ac:dyDescent="0.25">
      <c r="G868" t="b">
        <f>IF(OR(INDEX(IHZ_HAZ_UNITTYPE,111,1)&lt;&gt;"",),IF(OR(INDEX(IHZ_HAZ_LOCATION,111,1)="",INDEX(IHZ_HAZ_AMOUNT,111,1)="",),FALSE,TRUE),TRUE)</f>
        <v>1</v>
      </c>
      <c r="H868" t="str">
        <f t="shared" si="26"/>
        <v>Row 111 - For a ‘Transport unit’ both ‘Location on board’ and ‘Amount’ are required</v>
      </c>
      <c r="I868" t="s">
        <v>1391</v>
      </c>
      <c r="J868" t="b">
        <f>IF(OR(INDEX(OHZ_HAZ_UNITTYPE,111,1)&lt;&gt;"",),IF(OR(INDEX(OHZ_HAZ_LOCATION,111,1)="",INDEX(OHZ_HAZ_AMOUNT,111,1)="",),FALSE,TRUE),TRUE)</f>
        <v>1</v>
      </c>
      <c r="K868" t="str">
        <f t="shared" si="27"/>
        <v>Row 111 - For a ‘Transport unit’ both ‘Location on board’ and ‘Amount’ are required</v>
      </c>
      <c r="L868" t="s">
        <v>1391</v>
      </c>
    </row>
    <row r="869" spans="7:12" x14ac:dyDescent="0.25">
      <c r="G869" t="b">
        <f>IF(OR(INDEX(IHZ_HAZ_UNITTYPE,112,1)&lt;&gt;"",),IF(OR(INDEX(IHZ_HAZ_LOCATION,112,1)="",INDEX(IHZ_HAZ_AMOUNT,112,1)="",),FALSE,TRUE),TRUE)</f>
        <v>1</v>
      </c>
      <c r="H869" t="str">
        <f t="shared" si="26"/>
        <v>Row 112 - For a ‘Transport unit’ both ‘Location on board’ and ‘Amount’ are required</v>
      </c>
      <c r="I869" t="s">
        <v>1391</v>
      </c>
      <c r="J869" t="b">
        <f>IF(OR(INDEX(OHZ_HAZ_UNITTYPE,112,1)&lt;&gt;"",),IF(OR(INDEX(OHZ_HAZ_LOCATION,112,1)="",INDEX(OHZ_HAZ_AMOUNT,112,1)="",),FALSE,TRUE),TRUE)</f>
        <v>1</v>
      </c>
      <c r="K869" t="str">
        <f t="shared" si="27"/>
        <v>Row 112 - For a ‘Transport unit’ both ‘Location on board’ and ‘Amount’ are required</v>
      </c>
      <c r="L869" t="s">
        <v>1391</v>
      </c>
    </row>
    <row r="870" spans="7:12" x14ac:dyDescent="0.25">
      <c r="G870" t="b">
        <f>IF(OR(INDEX(IHZ_HAZ_UNITTYPE,113,1)&lt;&gt;"",),IF(OR(INDEX(IHZ_HAZ_LOCATION,113,1)="",INDEX(IHZ_HAZ_AMOUNT,113,1)="",),FALSE,TRUE),TRUE)</f>
        <v>1</v>
      </c>
      <c r="H870" t="str">
        <f t="shared" si="26"/>
        <v>Row 113 - For a ‘Transport unit’ both ‘Location on board’ and ‘Amount’ are required</v>
      </c>
      <c r="I870" t="s">
        <v>1391</v>
      </c>
      <c r="J870" t="b">
        <f>IF(OR(INDEX(OHZ_HAZ_UNITTYPE,113,1)&lt;&gt;"",),IF(OR(INDEX(OHZ_HAZ_LOCATION,113,1)="",INDEX(OHZ_HAZ_AMOUNT,113,1)="",),FALSE,TRUE),TRUE)</f>
        <v>1</v>
      </c>
      <c r="K870" t="str">
        <f t="shared" si="27"/>
        <v>Row 113 - For a ‘Transport unit’ both ‘Location on board’ and ‘Amount’ are required</v>
      </c>
      <c r="L870" t="s">
        <v>1391</v>
      </c>
    </row>
    <row r="871" spans="7:12" x14ac:dyDescent="0.25">
      <c r="G871" t="b">
        <f>IF(OR(INDEX(IHZ_HAZ_UNITTYPE,114,1)&lt;&gt;"",),IF(OR(INDEX(IHZ_HAZ_LOCATION,114,1)="",INDEX(IHZ_HAZ_AMOUNT,114,1)="",),FALSE,TRUE),TRUE)</f>
        <v>1</v>
      </c>
      <c r="H871" t="str">
        <f t="shared" si="26"/>
        <v>Row 114 - For a ‘Transport unit’ both ‘Location on board’ and ‘Amount’ are required</v>
      </c>
      <c r="I871" t="s">
        <v>1391</v>
      </c>
      <c r="J871" t="b">
        <f>IF(OR(INDEX(OHZ_HAZ_UNITTYPE,114,1)&lt;&gt;"",),IF(OR(INDEX(OHZ_HAZ_LOCATION,114,1)="",INDEX(OHZ_HAZ_AMOUNT,114,1)="",),FALSE,TRUE),TRUE)</f>
        <v>1</v>
      </c>
      <c r="K871" t="str">
        <f t="shared" si="27"/>
        <v>Row 114 - For a ‘Transport unit’ both ‘Location on board’ and ‘Amount’ are required</v>
      </c>
      <c r="L871" t="s">
        <v>1391</v>
      </c>
    </row>
    <row r="872" spans="7:12" x14ac:dyDescent="0.25">
      <c r="G872" t="b">
        <f>IF(OR(INDEX(IHZ_HAZ_UNITTYPE,115,1)&lt;&gt;"",),IF(OR(INDEX(IHZ_HAZ_LOCATION,115,1)="",INDEX(IHZ_HAZ_AMOUNT,115,1)="",),FALSE,TRUE),TRUE)</f>
        <v>1</v>
      </c>
      <c r="H872" t="str">
        <f t="shared" si="26"/>
        <v>Row 115 - For a ‘Transport unit’ both ‘Location on board’ and ‘Amount’ are required</v>
      </c>
      <c r="I872" t="s">
        <v>1391</v>
      </c>
      <c r="J872" t="b">
        <f>IF(OR(INDEX(OHZ_HAZ_UNITTYPE,115,1)&lt;&gt;"",),IF(OR(INDEX(OHZ_HAZ_LOCATION,115,1)="",INDEX(OHZ_HAZ_AMOUNT,115,1)="",),FALSE,TRUE),TRUE)</f>
        <v>1</v>
      </c>
      <c r="K872" t="str">
        <f t="shared" si="27"/>
        <v>Row 115 - For a ‘Transport unit’ both ‘Location on board’ and ‘Amount’ are required</v>
      </c>
      <c r="L872" t="s">
        <v>1391</v>
      </c>
    </row>
    <row r="873" spans="7:12" x14ac:dyDescent="0.25">
      <c r="G873" t="b">
        <f>IF(OR(INDEX(IHZ_HAZ_UNITTYPE,116,1)&lt;&gt;"",),IF(OR(INDEX(IHZ_HAZ_LOCATION,116,1)="",INDEX(IHZ_HAZ_AMOUNT,116,1)="",),FALSE,TRUE),TRUE)</f>
        <v>1</v>
      </c>
      <c r="H873" t="str">
        <f t="shared" si="26"/>
        <v>Row 116 - For a ‘Transport unit’ both ‘Location on board’ and ‘Amount’ are required</v>
      </c>
      <c r="I873" t="s">
        <v>1391</v>
      </c>
      <c r="J873" t="b">
        <f>IF(OR(INDEX(OHZ_HAZ_UNITTYPE,116,1)&lt;&gt;"",),IF(OR(INDEX(OHZ_HAZ_LOCATION,116,1)="",INDEX(OHZ_HAZ_AMOUNT,116,1)="",),FALSE,TRUE),TRUE)</f>
        <v>1</v>
      </c>
      <c r="K873" t="str">
        <f t="shared" si="27"/>
        <v>Row 116 - For a ‘Transport unit’ both ‘Location on board’ and ‘Amount’ are required</v>
      </c>
      <c r="L873" t="s">
        <v>1391</v>
      </c>
    </row>
    <row r="874" spans="7:12" x14ac:dyDescent="0.25">
      <c r="G874" t="b">
        <f>IF(OR(INDEX(IHZ_HAZ_UNITTYPE,117,1)&lt;&gt;"",),IF(OR(INDEX(IHZ_HAZ_LOCATION,117,1)="",INDEX(IHZ_HAZ_AMOUNT,117,1)="",),FALSE,TRUE),TRUE)</f>
        <v>1</v>
      </c>
      <c r="H874" t="str">
        <f t="shared" si="26"/>
        <v>Row 117 - For a ‘Transport unit’ both ‘Location on board’ and ‘Amount’ are required</v>
      </c>
      <c r="I874" t="s">
        <v>1391</v>
      </c>
      <c r="J874" t="b">
        <f>IF(OR(INDEX(OHZ_HAZ_UNITTYPE,117,1)&lt;&gt;"",),IF(OR(INDEX(OHZ_HAZ_LOCATION,117,1)="",INDEX(OHZ_HAZ_AMOUNT,117,1)="",),FALSE,TRUE),TRUE)</f>
        <v>1</v>
      </c>
      <c r="K874" t="str">
        <f t="shared" si="27"/>
        <v>Row 117 - For a ‘Transport unit’ both ‘Location on board’ and ‘Amount’ are required</v>
      </c>
      <c r="L874" t="s">
        <v>1391</v>
      </c>
    </row>
    <row r="875" spans="7:12" x14ac:dyDescent="0.25">
      <c r="G875" t="b">
        <f>IF(OR(INDEX(IHZ_HAZ_UNITTYPE,118,1)&lt;&gt;"",),IF(OR(INDEX(IHZ_HAZ_LOCATION,118,1)="",INDEX(IHZ_HAZ_AMOUNT,118,1)="",),FALSE,TRUE),TRUE)</f>
        <v>1</v>
      </c>
      <c r="H875" t="str">
        <f t="shared" si="26"/>
        <v>Row 118 - For a ‘Transport unit’ both ‘Location on board’ and ‘Amount’ are required</v>
      </c>
      <c r="I875" t="s">
        <v>1391</v>
      </c>
      <c r="J875" t="b">
        <f>IF(OR(INDEX(OHZ_HAZ_UNITTYPE,118,1)&lt;&gt;"",),IF(OR(INDEX(OHZ_HAZ_LOCATION,118,1)="",INDEX(OHZ_HAZ_AMOUNT,118,1)="",),FALSE,TRUE),TRUE)</f>
        <v>1</v>
      </c>
      <c r="K875" t="str">
        <f t="shared" si="27"/>
        <v>Row 118 - For a ‘Transport unit’ both ‘Location on board’ and ‘Amount’ are required</v>
      </c>
      <c r="L875" t="s">
        <v>1391</v>
      </c>
    </row>
    <row r="876" spans="7:12" x14ac:dyDescent="0.25">
      <c r="G876" t="b">
        <f>IF(OR(INDEX(IHZ_HAZ_UNITTYPE,119,1)&lt;&gt;"",),IF(OR(INDEX(IHZ_HAZ_LOCATION,119,1)="",INDEX(IHZ_HAZ_AMOUNT,119,1)="",),FALSE,TRUE),TRUE)</f>
        <v>1</v>
      </c>
      <c r="H876" t="str">
        <f t="shared" si="26"/>
        <v>Row 119 - For a ‘Transport unit’ both ‘Location on board’ and ‘Amount’ are required</v>
      </c>
      <c r="I876" t="s">
        <v>1391</v>
      </c>
      <c r="J876" t="b">
        <f>IF(OR(INDEX(OHZ_HAZ_UNITTYPE,119,1)&lt;&gt;"",),IF(OR(INDEX(OHZ_HAZ_LOCATION,119,1)="",INDEX(OHZ_HAZ_AMOUNT,119,1)="",),FALSE,TRUE),TRUE)</f>
        <v>1</v>
      </c>
      <c r="K876" t="str">
        <f t="shared" si="27"/>
        <v>Row 119 - For a ‘Transport unit’ both ‘Location on board’ and ‘Amount’ are required</v>
      </c>
      <c r="L876" t="s">
        <v>1391</v>
      </c>
    </row>
    <row r="877" spans="7:12" x14ac:dyDescent="0.25">
      <c r="G877" t="b">
        <f>IF(OR(INDEX(IHZ_HAZ_UNITTYPE,120,1)&lt;&gt;"",),IF(OR(INDEX(IHZ_HAZ_LOCATION,120,1)="",INDEX(IHZ_HAZ_AMOUNT,120,1)="",),FALSE,TRUE),TRUE)</f>
        <v>1</v>
      </c>
      <c r="H877" t="str">
        <f t="shared" si="26"/>
        <v>Row 120 - For a ‘Transport unit’ both ‘Location on board’ and ‘Amount’ are required</v>
      </c>
      <c r="I877" t="s">
        <v>1391</v>
      </c>
      <c r="J877" t="b">
        <f>IF(OR(INDEX(OHZ_HAZ_UNITTYPE,120,1)&lt;&gt;"",),IF(OR(INDEX(OHZ_HAZ_LOCATION,120,1)="",INDEX(OHZ_HAZ_AMOUNT,120,1)="",),FALSE,TRUE),TRUE)</f>
        <v>1</v>
      </c>
      <c r="K877" t="str">
        <f t="shared" si="27"/>
        <v>Row 120 - For a ‘Transport unit’ both ‘Location on board’ and ‘Amount’ are required</v>
      </c>
      <c r="L877" t="s">
        <v>1391</v>
      </c>
    </row>
    <row r="878" spans="7:12" x14ac:dyDescent="0.25">
      <c r="G878" t="b">
        <f>IF(OR(INDEX(IHZ_HAZ_UNITTYPE,121,1)&lt;&gt;"",),IF(OR(INDEX(IHZ_HAZ_LOCATION,121,1)="",INDEX(IHZ_HAZ_AMOUNT,121,1)="",),FALSE,TRUE),TRUE)</f>
        <v>1</v>
      </c>
      <c r="H878" t="str">
        <f t="shared" si="26"/>
        <v>Row 121 - For a ‘Transport unit’ both ‘Location on board’ and ‘Amount’ are required</v>
      </c>
      <c r="I878" t="s">
        <v>1391</v>
      </c>
      <c r="J878" t="b">
        <f>IF(OR(INDEX(OHZ_HAZ_UNITTYPE,121,1)&lt;&gt;"",),IF(OR(INDEX(OHZ_HAZ_LOCATION,121,1)="",INDEX(OHZ_HAZ_AMOUNT,121,1)="",),FALSE,TRUE),TRUE)</f>
        <v>1</v>
      </c>
      <c r="K878" t="str">
        <f t="shared" si="27"/>
        <v>Row 121 - For a ‘Transport unit’ both ‘Location on board’ and ‘Amount’ are required</v>
      </c>
      <c r="L878" t="s">
        <v>1391</v>
      </c>
    </row>
    <row r="879" spans="7:12" x14ac:dyDescent="0.25">
      <c r="G879" t="b">
        <f>IF(OR(INDEX(IHZ_HAZ_UNITTYPE,122,1)&lt;&gt;"",),IF(OR(INDEX(IHZ_HAZ_LOCATION,122,1)="",INDEX(IHZ_HAZ_AMOUNT,122,1)="",),FALSE,TRUE),TRUE)</f>
        <v>1</v>
      </c>
      <c r="H879" t="str">
        <f t="shared" si="26"/>
        <v>Row 122 - For a ‘Transport unit’ both ‘Location on board’ and ‘Amount’ are required</v>
      </c>
      <c r="I879" t="s">
        <v>1391</v>
      </c>
      <c r="J879" t="b">
        <f>IF(OR(INDEX(OHZ_HAZ_UNITTYPE,122,1)&lt;&gt;"",),IF(OR(INDEX(OHZ_HAZ_LOCATION,122,1)="",INDEX(OHZ_HAZ_AMOUNT,122,1)="",),FALSE,TRUE),TRUE)</f>
        <v>1</v>
      </c>
      <c r="K879" t="str">
        <f t="shared" si="27"/>
        <v>Row 122 - For a ‘Transport unit’ both ‘Location on board’ and ‘Amount’ are required</v>
      </c>
      <c r="L879" t="s">
        <v>1391</v>
      </c>
    </row>
    <row r="880" spans="7:12" x14ac:dyDescent="0.25">
      <c r="G880" t="b">
        <f>IF(OR(INDEX(IHZ_HAZ_UNITTYPE,123,1)&lt;&gt;"",),IF(OR(INDEX(IHZ_HAZ_LOCATION,123,1)="",INDEX(IHZ_HAZ_AMOUNT,123,1)="",),FALSE,TRUE),TRUE)</f>
        <v>1</v>
      </c>
      <c r="H880" t="str">
        <f t="shared" si="26"/>
        <v>Row 123 - For a ‘Transport unit’ both ‘Location on board’ and ‘Amount’ are required</v>
      </c>
      <c r="I880" t="s">
        <v>1391</v>
      </c>
      <c r="J880" t="b">
        <f>IF(OR(INDEX(OHZ_HAZ_UNITTYPE,123,1)&lt;&gt;"",),IF(OR(INDEX(OHZ_HAZ_LOCATION,123,1)="",INDEX(OHZ_HAZ_AMOUNT,123,1)="",),FALSE,TRUE),TRUE)</f>
        <v>1</v>
      </c>
      <c r="K880" t="str">
        <f t="shared" si="27"/>
        <v>Row 123 - For a ‘Transport unit’ both ‘Location on board’ and ‘Amount’ are required</v>
      </c>
      <c r="L880" t="s">
        <v>1391</v>
      </c>
    </row>
    <row r="881" spans="7:12" x14ac:dyDescent="0.25">
      <c r="G881" t="b">
        <f>IF(OR(INDEX(IHZ_HAZ_UNITTYPE,124,1)&lt;&gt;"",),IF(OR(INDEX(IHZ_HAZ_LOCATION,124,1)="",INDEX(IHZ_HAZ_AMOUNT,124,1)="",),FALSE,TRUE),TRUE)</f>
        <v>1</v>
      </c>
      <c r="H881" t="str">
        <f t="shared" si="26"/>
        <v>Row 124 - For a ‘Transport unit’ both ‘Location on board’ and ‘Amount’ are required</v>
      </c>
      <c r="I881" t="s">
        <v>1391</v>
      </c>
      <c r="J881" t="b">
        <f>IF(OR(INDEX(OHZ_HAZ_UNITTYPE,124,1)&lt;&gt;"",),IF(OR(INDEX(OHZ_HAZ_LOCATION,124,1)="",INDEX(OHZ_HAZ_AMOUNT,124,1)="",),FALSE,TRUE),TRUE)</f>
        <v>1</v>
      </c>
      <c r="K881" t="str">
        <f t="shared" si="27"/>
        <v>Row 124 - For a ‘Transport unit’ both ‘Location on board’ and ‘Amount’ are required</v>
      </c>
      <c r="L881" t="s">
        <v>1391</v>
      </c>
    </row>
    <row r="882" spans="7:12" x14ac:dyDescent="0.25">
      <c r="G882" t="b">
        <f>IF(OR(INDEX(IHZ_HAZ_UNITTYPE,125,1)&lt;&gt;"",),IF(OR(INDEX(IHZ_HAZ_LOCATION,125,1)="",INDEX(IHZ_HAZ_AMOUNT,125,1)="",),FALSE,TRUE),TRUE)</f>
        <v>1</v>
      </c>
      <c r="H882" t="str">
        <f t="shared" si="26"/>
        <v>Row 125 - For a ‘Transport unit’ both ‘Location on board’ and ‘Amount’ are required</v>
      </c>
      <c r="I882" t="s">
        <v>1391</v>
      </c>
      <c r="J882" t="b">
        <f>IF(OR(INDEX(OHZ_HAZ_UNITTYPE,125,1)&lt;&gt;"",),IF(OR(INDEX(OHZ_HAZ_LOCATION,125,1)="",INDEX(OHZ_HAZ_AMOUNT,125,1)="",),FALSE,TRUE),TRUE)</f>
        <v>1</v>
      </c>
      <c r="K882" t="str">
        <f t="shared" si="27"/>
        <v>Row 125 - For a ‘Transport unit’ both ‘Location on board’ and ‘Amount’ are required</v>
      </c>
      <c r="L882" t="s">
        <v>1391</v>
      </c>
    </row>
    <row r="883" spans="7:12" x14ac:dyDescent="0.25">
      <c r="G883" t="b">
        <f>IF(OR(INDEX(IHZ_HAZ_UNITTYPE,126,1)&lt;&gt;"",),IF(OR(INDEX(IHZ_HAZ_LOCATION,126,1)="",INDEX(IHZ_HAZ_AMOUNT,126,1)="",),FALSE,TRUE),TRUE)</f>
        <v>1</v>
      </c>
      <c r="H883" t="str">
        <f t="shared" si="26"/>
        <v>Row 126 - For a ‘Transport unit’ both ‘Location on board’ and ‘Amount’ are required</v>
      </c>
      <c r="I883" t="s">
        <v>1391</v>
      </c>
      <c r="J883" t="b">
        <f>IF(OR(INDEX(OHZ_HAZ_UNITTYPE,126,1)&lt;&gt;"",),IF(OR(INDEX(OHZ_HAZ_LOCATION,126,1)="",INDEX(OHZ_HAZ_AMOUNT,126,1)="",),FALSE,TRUE),TRUE)</f>
        <v>1</v>
      </c>
      <c r="K883" t="str">
        <f t="shared" si="27"/>
        <v>Row 126 - For a ‘Transport unit’ both ‘Location on board’ and ‘Amount’ are required</v>
      </c>
      <c r="L883" t="s">
        <v>1391</v>
      </c>
    </row>
    <row r="884" spans="7:12" x14ac:dyDescent="0.25">
      <c r="G884" t="b">
        <f>IF(OR(INDEX(IHZ_HAZ_UNITTYPE,127,1)&lt;&gt;"",),IF(OR(INDEX(IHZ_HAZ_LOCATION,127,1)="",INDEX(IHZ_HAZ_AMOUNT,127,1)="",),FALSE,TRUE),TRUE)</f>
        <v>1</v>
      </c>
      <c r="H884" t="str">
        <f t="shared" si="26"/>
        <v>Row 127 - For a ‘Transport unit’ both ‘Location on board’ and ‘Amount’ are required</v>
      </c>
      <c r="I884" t="s">
        <v>1391</v>
      </c>
      <c r="J884" t="b">
        <f>IF(OR(INDEX(OHZ_HAZ_UNITTYPE,127,1)&lt;&gt;"",),IF(OR(INDEX(OHZ_HAZ_LOCATION,127,1)="",INDEX(OHZ_HAZ_AMOUNT,127,1)="",),FALSE,TRUE),TRUE)</f>
        <v>1</v>
      </c>
      <c r="K884" t="str">
        <f t="shared" si="27"/>
        <v>Row 127 - For a ‘Transport unit’ both ‘Location on board’ and ‘Amount’ are required</v>
      </c>
      <c r="L884" t="s">
        <v>1391</v>
      </c>
    </row>
    <row r="885" spans="7:12" x14ac:dyDescent="0.25">
      <c r="G885" t="b">
        <f>IF(OR(INDEX(IHZ_HAZ_UNITTYPE,128,1)&lt;&gt;"",),IF(OR(INDEX(IHZ_HAZ_LOCATION,128,1)="",INDEX(IHZ_HAZ_AMOUNT,128,1)="",),FALSE,TRUE),TRUE)</f>
        <v>1</v>
      </c>
      <c r="H885" t="str">
        <f t="shared" si="26"/>
        <v>Row 128 - For a ‘Transport unit’ both ‘Location on board’ and ‘Amount’ are required</v>
      </c>
      <c r="I885" t="s">
        <v>1391</v>
      </c>
      <c r="J885" t="b">
        <f>IF(OR(INDEX(OHZ_HAZ_UNITTYPE,128,1)&lt;&gt;"",),IF(OR(INDEX(OHZ_HAZ_LOCATION,128,1)="",INDEX(OHZ_HAZ_AMOUNT,128,1)="",),FALSE,TRUE),TRUE)</f>
        <v>1</v>
      </c>
      <c r="K885" t="str">
        <f t="shared" si="27"/>
        <v>Row 128 - For a ‘Transport unit’ both ‘Location on board’ and ‘Amount’ are required</v>
      </c>
      <c r="L885" t="s">
        <v>1391</v>
      </c>
    </row>
    <row r="886" spans="7:12" x14ac:dyDescent="0.25">
      <c r="G886" t="b">
        <f>IF(OR(INDEX(IHZ_HAZ_UNITTYPE,129,1)&lt;&gt;"",),IF(OR(INDEX(IHZ_HAZ_LOCATION,129,1)="",INDEX(IHZ_HAZ_AMOUNT,129,1)="",),FALSE,TRUE),TRUE)</f>
        <v>1</v>
      </c>
      <c r="H886" t="str">
        <f t="shared" si="26"/>
        <v>Row 129 - For a ‘Transport unit’ both ‘Location on board’ and ‘Amount’ are required</v>
      </c>
      <c r="I886" t="s">
        <v>1391</v>
      </c>
      <c r="J886" t="b">
        <f>IF(OR(INDEX(OHZ_HAZ_UNITTYPE,129,1)&lt;&gt;"",),IF(OR(INDEX(OHZ_HAZ_LOCATION,129,1)="",INDEX(OHZ_HAZ_AMOUNT,129,1)="",),FALSE,TRUE),TRUE)</f>
        <v>1</v>
      </c>
      <c r="K886" t="str">
        <f t="shared" si="27"/>
        <v>Row 129 - For a ‘Transport unit’ both ‘Location on board’ and ‘Amount’ are required</v>
      </c>
      <c r="L886" t="s">
        <v>1391</v>
      </c>
    </row>
    <row r="887" spans="7:12" x14ac:dyDescent="0.25">
      <c r="G887" t="b">
        <f>IF(OR(INDEX(IHZ_HAZ_UNITTYPE,130,1)&lt;&gt;"",),IF(OR(INDEX(IHZ_HAZ_LOCATION,130,1)="",INDEX(IHZ_HAZ_AMOUNT,130,1)="",),FALSE,TRUE),TRUE)</f>
        <v>1</v>
      </c>
      <c r="H887" t="str">
        <f t="shared" ref="H887:H950" si="28">T130&amp;$V$4</f>
        <v>Row 130 - For a ‘Transport unit’ both ‘Location on board’ and ‘Amount’ are required</v>
      </c>
      <c r="I887" t="s">
        <v>1391</v>
      </c>
      <c r="J887" t="b">
        <f>IF(OR(INDEX(OHZ_HAZ_UNITTYPE,130,1)&lt;&gt;"",),IF(OR(INDEX(OHZ_HAZ_LOCATION,130,1)="",INDEX(OHZ_HAZ_AMOUNT,130,1)="",),FALSE,TRUE),TRUE)</f>
        <v>1</v>
      </c>
      <c r="K887" t="str">
        <f t="shared" ref="K887:K950" si="29">T130&amp;$V$4</f>
        <v>Row 130 - For a ‘Transport unit’ both ‘Location on board’ and ‘Amount’ are required</v>
      </c>
      <c r="L887" t="s">
        <v>1391</v>
      </c>
    </row>
    <row r="888" spans="7:12" x14ac:dyDescent="0.25">
      <c r="G888" t="b">
        <f>IF(OR(INDEX(IHZ_HAZ_UNITTYPE,131,1)&lt;&gt;"",),IF(OR(INDEX(IHZ_HAZ_LOCATION,131,1)="",INDEX(IHZ_HAZ_AMOUNT,131,1)="",),FALSE,TRUE),TRUE)</f>
        <v>1</v>
      </c>
      <c r="H888" t="str">
        <f t="shared" si="28"/>
        <v>Row 131 - For a ‘Transport unit’ both ‘Location on board’ and ‘Amount’ are required</v>
      </c>
      <c r="I888" t="s">
        <v>1391</v>
      </c>
      <c r="J888" t="b">
        <f>IF(OR(INDEX(OHZ_HAZ_UNITTYPE,131,1)&lt;&gt;"",),IF(OR(INDEX(OHZ_HAZ_LOCATION,131,1)="",INDEX(OHZ_HAZ_AMOUNT,131,1)="",),FALSE,TRUE),TRUE)</f>
        <v>1</v>
      </c>
      <c r="K888" t="str">
        <f t="shared" si="29"/>
        <v>Row 131 - For a ‘Transport unit’ both ‘Location on board’ and ‘Amount’ are required</v>
      </c>
      <c r="L888" t="s">
        <v>1391</v>
      </c>
    </row>
    <row r="889" spans="7:12" x14ac:dyDescent="0.25">
      <c r="G889" t="b">
        <f>IF(OR(INDEX(IHZ_HAZ_UNITTYPE,132,1)&lt;&gt;"",),IF(OR(INDEX(IHZ_HAZ_LOCATION,132,1)="",INDEX(IHZ_HAZ_AMOUNT,132,1)="",),FALSE,TRUE),TRUE)</f>
        <v>1</v>
      </c>
      <c r="H889" t="str">
        <f t="shared" si="28"/>
        <v>Row 132 - For a ‘Transport unit’ both ‘Location on board’ and ‘Amount’ are required</v>
      </c>
      <c r="I889" t="s">
        <v>1391</v>
      </c>
      <c r="J889" t="b">
        <f>IF(OR(INDEX(OHZ_HAZ_UNITTYPE,132,1)&lt;&gt;"",),IF(OR(INDEX(OHZ_HAZ_LOCATION,132,1)="",INDEX(OHZ_HAZ_AMOUNT,132,1)="",),FALSE,TRUE),TRUE)</f>
        <v>1</v>
      </c>
      <c r="K889" t="str">
        <f t="shared" si="29"/>
        <v>Row 132 - For a ‘Transport unit’ both ‘Location on board’ and ‘Amount’ are required</v>
      </c>
      <c r="L889" t="s">
        <v>1391</v>
      </c>
    </row>
    <row r="890" spans="7:12" x14ac:dyDescent="0.25">
      <c r="G890" t="b">
        <f>IF(OR(INDEX(IHZ_HAZ_UNITTYPE,133,1)&lt;&gt;"",),IF(OR(INDEX(IHZ_HAZ_LOCATION,133,1)="",INDEX(IHZ_HAZ_AMOUNT,133,1)="",),FALSE,TRUE),TRUE)</f>
        <v>1</v>
      </c>
      <c r="H890" t="str">
        <f t="shared" si="28"/>
        <v>Row 133 - For a ‘Transport unit’ both ‘Location on board’ and ‘Amount’ are required</v>
      </c>
      <c r="I890" t="s">
        <v>1391</v>
      </c>
      <c r="J890" t="b">
        <f>IF(OR(INDEX(OHZ_HAZ_UNITTYPE,133,1)&lt;&gt;"",),IF(OR(INDEX(OHZ_HAZ_LOCATION,133,1)="",INDEX(OHZ_HAZ_AMOUNT,133,1)="",),FALSE,TRUE),TRUE)</f>
        <v>1</v>
      </c>
      <c r="K890" t="str">
        <f t="shared" si="29"/>
        <v>Row 133 - For a ‘Transport unit’ both ‘Location on board’ and ‘Amount’ are required</v>
      </c>
      <c r="L890" t="s">
        <v>1391</v>
      </c>
    </row>
    <row r="891" spans="7:12" x14ac:dyDescent="0.25">
      <c r="G891" t="b">
        <f>IF(OR(INDEX(IHZ_HAZ_UNITTYPE,134,1)&lt;&gt;"",),IF(OR(INDEX(IHZ_HAZ_LOCATION,134,1)="",INDEX(IHZ_HAZ_AMOUNT,134,1)="",),FALSE,TRUE),TRUE)</f>
        <v>1</v>
      </c>
      <c r="H891" t="str">
        <f t="shared" si="28"/>
        <v>Row 134 - For a ‘Transport unit’ both ‘Location on board’ and ‘Amount’ are required</v>
      </c>
      <c r="I891" t="s">
        <v>1391</v>
      </c>
      <c r="J891" t="b">
        <f>IF(OR(INDEX(OHZ_HAZ_UNITTYPE,134,1)&lt;&gt;"",),IF(OR(INDEX(OHZ_HAZ_LOCATION,134,1)="",INDEX(OHZ_HAZ_AMOUNT,134,1)="",),FALSE,TRUE),TRUE)</f>
        <v>1</v>
      </c>
      <c r="K891" t="str">
        <f t="shared" si="29"/>
        <v>Row 134 - For a ‘Transport unit’ both ‘Location on board’ and ‘Amount’ are required</v>
      </c>
      <c r="L891" t="s">
        <v>1391</v>
      </c>
    </row>
    <row r="892" spans="7:12" x14ac:dyDescent="0.25">
      <c r="G892" t="b">
        <f>IF(OR(INDEX(IHZ_HAZ_UNITTYPE,135,1)&lt;&gt;"",),IF(OR(INDEX(IHZ_HAZ_LOCATION,135,1)="",INDEX(IHZ_HAZ_AMOUNT,135,1)="",),FALSE,TRUE),TRUE)</f>
        <v>1</v>
      </c>
      <c r="H892" t="str">
        <f t="shared" si="28"/>
        <v>Row 135 - For a ‘Transport unit’ both ‘Location on board’ and ‘Amount’ are required</v>
      </c>
      <c r="I892" t="s">
        <v>1391</v>
      </c>
      <c r="J892" t="b">
        <f>IF(OR(INDEX(OHZ_HAZ_UNITTYPE,135,1)&lt;&gt;"",),IF(OR(INDEX(OHZ_HAZ_LOCATION,135,1)="",INDEX(OHZ_HAZ_AMOUNT,135,1)="",),FALSE,TRUE),TRUE)</f>
        <v>1</v>
      </c>
      <c r="K892" t="str">
        <f t="shared" si="29"/>
        <v>Row 135 - For a ‘Transport unit’ both ‘Location on board’ and ‘Amount’ are required</v>
      </c>
      <c r="L892" t="s">
        <v>1391</v>
      </c>
    </row>
    <row r="893" spans="7:12" x14ac:dyDescent="0.25">
      <c r="G893" t="b">
        <f>IF(OR(INDEX(IHZ_HAZ_UNITTYPE,136,1)&lt;&gt;"",),IF(OR(INDEX(IHZ_HAZ_LOCATION,136,1)="",INDEX(IHZ_HAZ_AMOUNT,136,1)="",),FALSE,TRUE),TRUE)</f>
        <v>1</v>
      </c>
      <c r="H893" t="str">
        <f t="shared" si="28"/>
        <v>Row 136 - For a ‘Transport unit’ both ‘Location on board’ and ‘Amount’ are required</v>
      </c>
      <c r="I893" t="s">
        <v>1391</v>
      </c>
      <c r="J893" t="b">
        <f>IF(OR(INDEX(OHZ_HAZ_UNITTYPE,136,1)&lt;&gt;"",),IF(OR(INDEX(OHZ_HAZ_LOCATION,136,1)="",INDEX(OHZ_HAZ_AMOUNT,136,1)="",),FALSE,TRUE),TRUE)</f>
        <v>1</v>
      </c>
      <c r="K893" t="str">
        <f t="shared" si="29"/>
        <v>Row 136 - For a ‘Transport unit’ both ‘Location on board’ and ‘Amount’ are required</v>
      </c>
      <c r="L893" t="s">
        <v>1391</v>
      </c>
    </row>
    <row r="894" spans="7:12" x14ac:dyDescent="0.25">
      <c r="G894" t="b">
        <f>IF(OR(INDEX(IHZ_HAZ_UNITTYPE,137,1)&lt;&gt;"",),IF(OR(INDEX(IHZ_HAZ_LOCATION,137,1)="",INDEX(IHZ_HAZ_AMOUNT,137,1)="",),FALSE,TRUE),TRUE)</f>
        <v>1</v>
      </c>
      <c r="H894" t="str">
        <f t="shared" si="28"/>
        <v>Row 137 - For a ‘Transport unit’ both ‘Location on board’ and ‘Amount’ are required</v>
      </c>
      <c r="I894" t="s">
        <v>1391</v>
      </c>
      <c r="J894" t="b">
        <f>IF(OR(INDEX(OHZ_HAZ_UNITTYPE,137,1)&lt;&gt;"",),IF(OR(INDEX(OHZ_HAZ_LOCATION,137,1)="",INDEX(OHZ_HAZ_AMOUNT,137,1)="",),FALSE,TRUE),TRUE)</f>
        <v>1</v>
      </c>
      <c r="K894" t="str">
        <f t="shared" si="29"/>
        <v>Row 137 - For a ‘Transport unit’ both ‘Location on board’ and ‘Amount’ are required</v>
      </c>
      <c r="L894" t="s">
        <v>1391</v>
      </c>
    </row>
    <row r="895" spans="7:12" x14ac:dyDescent="0.25">
      <c r="G895" t="b">
        <f>IF(OR(INDEX(IHZ_HAZ_UNITTYPE,138,1)&lt;&gt;"",),IF(OR(INDEX(IHZ_HAZ_LOCATION,138,1)="",INDEX(IHZ_HAZ_AMOUNT,138,1)="",),FALSE,TRUE),TRUE)</f>
        <v>1</v>
      </c>
      <c r="H895" t="str">
        <f t="shared" si="28"/>
        <v>Row 138 - For a ‘Transport unit’ both ‘Location on board’ and ‘Amount’ are required</v>
      </c>
      <c r="I895" t="s">
        <v>1391</v>
      </c>
      <c r="J895" t="b">
        <f>IF(OR(INDEX(OHZ_HAZ_UNITTYPE,138,1)&lt;&gt;"",),IF(OR(INDEX(OHZ_HAZ_LOCATION,138,1)="",INDEX(OHZ_HAZ_AMOUNT,138,1)="",),FALSE,TRUE),TRUE)</f>
        <v>1</v>
      </c>
      <c r="K895" t="str">
        <f t="shared" si="29"/>
        <v>Row 138 - For a ‘Transport unit’ both ‘Location on board’ and ‘Amount’ are required</v>
      </c>
      <c r="L895" t="s">
        <v>1391</v>
      </c>
    </row>
    <row r="896" spans="7:12" x14ac:dyDescent="0.25">
      <c r="G896" t="b">
        <f>IF(OR(INDEX(IHZ_HAZ_UNITTYPE,139,1)&lt;&gt;"",),IF(OR(INDEX(IHZ_HAZ_LOCATION,139,1)="",INDEX(IHZ_HAZ_AMOUNT,139,1)="",),FALSE,TRUE),TRUE)</f>
        <v>1</v>
      </c>
      <c r="H896" t="str">
        <f t="shared" si="28"/>
        <v>Row 139 - For a ‘Transport unit’ both ‘Location on board’ and ‘Amount’ are required</v>
      </c>
      <c r="I896" t="s">
        <v>1391</v>
      </c>
      <c r="J896" t="b">
        <f>IF(OR(INDEX(OHZ_HAZ_UNITTYPE,139,1)&lt;&gt;"",),IF(OR(INDEX(OHZ_HAZ_LOCATION,139,1)="",INDEX(OHZ_HAZ_AMOUNT,139,1)="",),FALSE,TRUE),TRUE)</f>
        <v>1</v>
      </c>
      <c r="K896" t="str">
        <f t="shared" si="29"/>
        <v>Row 139 - For a ‘Transport unit’ both ‘Location on board’ and ‘Amount’ are required</v>
      </c>
      <c r="L896" t="s">
        <v>1391</v>
      </c>
    </row>
    <row r="897" spans="7:12" x14ac:dyDescent="0.25">
      <c r="G897" t="b">
        <f>IF(OR(INDEX(IHZ_HAZ_UNITTYPE,140,1)&lt;&gt;"",),IF(OR(INDEX(IHZ_HAZ_LOCATION,140,1)="",INDEX(IHZ_HAZ_AMOUNT,140,1)="",),FALSE,TRUE),TRUE)</f>
        <v>1</v>
      </c>
      <c r="H897" t="str">
        <f t="shared" si="28"/>
        <v>Row 140 - For a ‘Transport unit’ both ‘Location on board’ and ‘Amount’ are required</v>
      </c>
      <c r="I897" t="s">
        <v>1391</v>
      </c>
      <c r="J897" t="b">
        <f>IF(OR(INDEX(OHZ_HAZ_UNITTYPE,140,1)&lt;&gt;"",),IF(OR(INDEX(OHZ_HAZ_LOCATION,140,1)="",INDEX(OHZ_HAZ_AMOUNT,140,1)="",),FALSE,TRUE),TRUE)</f>
        <v>1</v>
      </c>
      <c r="K897" t="str">
        <f t="shared" si="29"/>
        <v>Row 140 - For a ‘Transport unit’ both ‘Location on board’ and ‘Amount’ are required</v>
      </c>
      <c r="L897" t="s">
        <v>1391</v>
      </c>
    </row>
    <row r="898" spans="7:12" x14ac:dyDescent="0.25">
      <c r="G898" t="b">
        <f>IF(OR(INDEX(IHZ_HAZ_UNITTYPE,141,1)&lt;&gt;"",),IF(OR(INDEX(IHZ_HAZ_LOCATION,141,1)="",INDEX(IHZ_HAZ_AMOUNT,141,1)="",),FALSE,TRUE),TRUE)</f>
        <v>1</v>
      </c>
      <c r="H898" t="str">
        <f t="shared" si="28"/>
        <v>Row 141 - For a ‘Transport unit’ both ‘Location on board’ and ‘Amount’ are required</v>
      </c>
      <c r="I898" t="s">
        <v>1391</v>
      </c>
      <c r="J898" t="b">
        <f>IF(OR(INDEX(OHZ_HAZ_UNITTYPE,141,1)&lt;&gt;"",),IF(OR(INDEX(OHZ_HAZ_LOCATION,141,1)="",INDEX(OHZ_HAZ_AMOUNT,141,1)="",),FALSE,TRUE),TRUE)</f>
        <v>1</v>
      </c>
      <c r="K898" t="str">
        <f t="shared" si="29"/>
        <v>Row 141 - For a ‘Transport unit’ both ‘Location on board’ and ‘Amount’ are required</v>
      </c>
      <c r="L898" t="s">
        <v>1391</v>
      </c>
    </row>
    <row r="899" spans="7:12" x14ac:dyDescent="0.25">
      <c r="G899" t="b">
        <f>IF(OR(INDEX(IHZ_HAZ_UNITTYPE,142,1)&lt;&gt;"",),IF(OR(INDEX(IHZ_HAZ_LOCATION,142,1)="",INDEX(IHZ_HAZ_AMOUNT,142,1)="",),FALSE,TRUE),TRUE)</f>
        <v>1</v>
      </c>
      <c r="H899" t="str">
        <f t="shared" si="28"/>
        <v>Row 142 - For a ‘Transport unit’ both ‘Location on board’ and ‘Amount’ are required</v>
      </c>
      <c r="I899" t="s">
        <v>1391</v>
      </c>
      <c r="J899" t="b">
        <f>IF(OR(INDEX(OHZ_HAZ_UNITTYPE,142,1)&lt;&gt;"",),IF(OR(INDEX(OHZ_HAZ_LOCATION,142,1)="",INDEX(OHZ_HAZ_AMOUNT,142,1)="",),FALSE,TRUE),TRUE)</f>
        <v>1</v>
      </c>
      <c r="K899" t="str">
        <f t="shared" si="29"/>
        <v>Row 142 - For a ‘Transport unit’ both ‘Location on board’ and ‘Amount’ are required</v>
      </c>
      <c r="L899" t="s">
        <v>1391</v>
      </c>
    </row>
    <row r="900" spans="7:12" x14ac:dyDescent="0.25">
      <c r="G900" t="b">
        <f>IF(OR(INDEX(IHZ_HAZ_UNITTYPE,143,1)&lt;&gt;"",),IF(OR(INDEX(IHZ_HAZ_LOCATION,143,1)="",INDEX(IHZ_HAZ_AMOUNT,143,1)="",),FALSE,TRUE),TRUE)</f>
        <v>1</v>
      </c>
      <c r="H900" t="str">
        <f t="shared" si="28"/>
        <v>Row 143 - For a ‘Transport unit’ both ‘Location on board’ and ‘Amount’ are required</v>
      </c>
      <c r="I900" t="s">
        <v>1391</v>
      </c>
      <c r="J900" t="b">
        <f>IF(OR(INDEX(OHZ_HAZ_UNITTYPE,143,1)&lt;&gt;"",),IF(OR(INDEX(OHZ_HAZ_LOCATION,143,1)="",INDEX(OHZ_HAZ_AMOUNT,143,1)="",),FALSE,TRUE),TRUE)</f>
        <v>1</v>
      </c>
      <c r="K900" t="str">
        <f t="shared" si="29"/>
        <v>Row 143 - For a ‘Transport unit’ both ‘Location on board’ and ‘Amount’ are required</v>
      </c>
      <c r="L900" t="s">
        <v>1391</v>
      </c>
    </row>
    <row r="901" spans="7:12" x14ac:dyDescent="0.25">
      <c r="G901" t="b">
        <f>IF(OR(INDEX(IHZ_HAZ_UNITTYPE,144,1)&lt;&gt;"",),IF(OR(INDEX(IHZ_HAZ_LOCATION,144,1)="",INDEX(IHZ_HAZ_AMOUNT,144,1)="",),FALSE,TRUE),TRUE)</f>
        <v>1</v>
      </c>
      <c r="H901" t="str">
        <f t="shared" si="28"/>
        <v>Row 144 - For a ‘Transport unit’ both ‘Location on board’ and ‘Amount’ are required</v>
      </c>
      <c r="I901" t="s">
        <v>1391</v>
      </c>
      <c r="J901" t="b">
        <f>IF(OR(INDEX(OHZ_HAZ_UNITTYPE,144,1)&lt;&gt;"",),IF(OR(INDEX(OHZ_HAZ_LOCATION,144,1)="",INDEX(OHZ_HAZ_AMOUNT,144,1)="",),FALSE,TRUE),TRUE)</f>
        <v>1</v>
      </c>
      <c r="K901" t="str">
        <f t="shared" si="29"/>
        <v>Row 144 - For a ‘Transport unit’ both ‘Location on board’ and ‘Amount’ are required</v>
      </c>
      <c r="L901" t="s">
        <v>1391</v>
      </c>
    </row>
    <row r="902" spans="7:12" x14ac:dyDescent="0.25">
      <c r="G902" t="b">
        <f>IF(OR(INDEX(IHZ_HAZ_UNITTYPE,145,1)&lt;&gt;"",),IF(OR(INDEX(IHZ_HAZ_LOCATION,145,1)="",INDEX(IHZ_HAZ_AMOUNT,145,1)="",),FALSE,TRUE),TRUE)</f>
        <v>1</v>
      </c>
      <c r="H902" t="str">
        <f t="shared" si="28"/>
        <v>Row 145 - For a ‘Transport unit’ both ‘Location on board’ and ‘Amount’ are required</v>
      </c>
      <c r="I902" t="s">
        <v>1391</v>
      </c>
      <c r="J902" t="b">
        <f>IF(OR(INDEX(OHZ_HAZ_UNITTYPE,145,1)&lt;&gt;"",),IF(OR(INDEX(OHZ_HAZ_LOCATION,145,1)="",INDEX(OHZ_HAZ_AMOUNT,145,1)="",),FALSE,TRUE),TRUE)</f>
        <v>1</v>
      </c>
      <c r="K902" t="str">
        <f t="shared" si="29"/>
        <v>Row 145 - For a ‘Transport unit’ both ‘Location on board’ and ‘Amount’ are required</v>
      </c>
      <c r="L902" t="s">
        <v>1391</v>
      </c>
    </row>
    <row r="903" spans="7:12" x14ac:dyDescent="0.25">
      <c r="G903" t="b">
        <f>IF(OR(INDEX(IHZ_HAZ_UNITTYPE,146,1)&lt;&gt;"",),IF(OR(INDEX(IHZ_HAZ_LOCATION,146,1)="",INDEX(IHZ_HAZ_AMOUNT,146,1)="",),FALSE,TRUE),TRUE)</f>
        <v>1</v>
      </c>
      <c r="H903" t="str">
        <f t="shared" si="28"/>
        <v>Row 146 - For a ‘Transport unit’ both ‘Location on board’ and ‘Amount’ are required</v>
      </c>
      <c r="I903" t="s">
        <v>1391</v>
      </c>
      <c r="J903" t="b">
        <f>IF(OR(INDEX(OHZ_HAZ_UNITTYPE,146,1)&lt;&gt;"",),IF(OR(INDEX(OHZ_HAZ_LOCATION,146,1)="",INDEX(OHZ_HAZ_AMOUNT,146,1)="",),FALSE,TRUE),TRUE)</f>
        <v>1</v>
      </c>
      <c r="K903" t="str">
        <f t="shared" si="29"/>
        <v>Row 146 - For a ‘Transport unit’ both ‘Location on board’ and ‘Amount’ are required</v>
      </c>
      <c r="L903" t="s">
        <v>1391</v>
      </c>
    </row>
    <row r="904" spans="7:12" x14ac:dyDescent="0.25">
      <c r="G904" t="b">
        <f>IF(OR(INDEX(IHZ_HAZ_UNITTYPE,147,1)&lt;&gt;"",),IF(OR(INDEX(IHZ_HAZ_LOCATION,147,1)="",INDEX(IHZ_HAZ_AMOUNT,147,1)="",),FALSE,TRUE),TRUE)</f>
        <v>1</v>
      </c>
      <c r="H904" t="str">
        <f t="shared" si="28"/>
        <v>Row 147 - For a ‘Transport unit’ both ‘Location on board’ and ‘Amount’ are required</v>
      </c>
      <c r="I904" t="s">
        <v>1391</v>
      </c>
      <c r="J904" t="b">
        <f>IF(OR(INDEX(OHZ_HAZ_UNITTYPE,147,1)&lt;&gt;"",),IF(OR(INDEX(OHZ_HAZ_LOCATION,147,1)="",INDEX(OHZ_HAZ_AMOUNT,147,1)="",),FALSE,TRUE),TRUE)</f>
        <v>1</v>
      </c>
      <c r="K904" t="str">
        <f t="shared" si="29"/>
        <v>Row 147 - For a ‘Transport unit’ both ‘Location on board’ and ‘Amount’ are required</v>
      </c>
      <c r="L904" t="s">
        <v>1391</v>
      </c>
    </row>
    <row r="905" spans="7:12" x14ac:dyDescent="0.25">
      <c r="G905" t="b">
        <f>IF(OR(INDEX(IHZ_HAZ_UNITTYPE,148,1)&lt;&gt;"",),IF(OR(INDEX(IHZ_HAZ_LOCATION,148,1)="",INDEX(IHZ_HAZ_AMOUNT,148,1)="",),FALSE,TRUE),TRUE)</f>
        <v>1</v>
      </c>
      <c r="H905" t="str">
        <f t="shared" si="28"/>
        <v>Row 148 - For a ‘Transport unit’ both ‘Location on board’ and ‘Amount’ are required</v>
      </c>
      <c r="I905" t="s">
        <v>1391</v>
      </c>
      <c r="J905" t="b">
        <f>IF(OR(INDEX(OHZ_HAZ_UNITTYPE,148,1)&lt;&gt;"",),IF(OR(INDEX(OHZ_HAZ_LOCATION,148,1)="",INDEX(OHZ_HAZ_AMOUNT,148,1)="",),FALSE,TRUE),TRUE)</f>
        <v>1</v>
      </c>
      <c r="K905" t="str">
        <f t="shared" si="29"/>
        <v>Row 148 - For a ‘Transport unit’ both ‘Location on board’ and ‘Amount’ are required</v>
      </c>
      <c r="L905" t="s">
        <v>1391</v>
      </c>
    </row>
    <row r="906" spans="7:12" x14ac:dyDescent="0.25">
      <c r="G906" t="b">
        <f>IF(OR(INDEX(IHZ_HAZ_UNITTYPE,149,1)&lt;&gt;"",),IF(OR(INDEX(IHZ_HAZ_LOCATION,149,1)="",INDEX(IHZ_HAZ_AMOUNT,149,1)="",),FALSE,TRUE),TRUE)</f>
        <v>1</v>
      </c>
      <c r="H906" t="str">
        <f t="shared" si="28"/>
        <v>Row 149 - For a ‘Transport unit’ both ‘Location on board’ and ‘Amount’ are required</v>
      </c>
      <c r="I906" t="s">
        <v>1391</v>
      </c>
      <c r="J906" t="b">
        <f>IF(OR(INDEX(OHZ_HAZ_UNITTYPE,149,1)&lt;&gt;"",),IF(OR(INDEX(OHZ_HAZ_LOCATION,149,1)="",INDEX(OHZ_HAZ_AMOUNT,149,1)="",),FALSE,TRUE),TRUE)</f>
        <v>1</v>
      </c>
      <c r="K906" t="str">
        <f t="shared" si="29"/>
        <v>Row 149 - For a ‘Transport unit’ both ‘Location on board’ and ‘Amount’ are required</v>
      </c>
      <c r="L906" t="s">
        <v>1391</v>
      </c>
    </row>
    <row r="907" spans="7:12" x14ac:dyDescent="0.25">
      <c r="G907" t="b">
        <f>IF(OR(INDEX(IHZ_HAZ_UNITTYPE,150,1)&lt;&gt;"",),IF(OR(INDEX(IHZ_HAZ_LOCATION,150,1)="",INDEX(IHZ_HAZ_AMOUNT,150,1)="",),FALSE,TRUE),TRUE)</f>
        <v>1</v>
      </c>
      <c r="H907" t="str">
        <f t="shared" si="28"/>
        <v>Row 150 - For a ‘Transport unit’ both ‘Location on board’ and ‘Amount’ are required</v>
      </c>
      <c r="I907" t="s">
        <v>1391</v>
      </c>
      <c r="J907" t="b">
        <f>IF(OR(INDEX(OHZ_HAZ_UNITTYPE,150,1)&lt;&gt;"",),IF(OR(INDEX(OHZ_HAZ_LOCATION,150,1)="",INDEX(OHZ_HAZ_AMOUNT,150,1)="",),FALSE,TRUE),TRUE)</f>
        <v>1</v>
      </c>
      <c r="K907" t="str">
        <f t="shared" si="29"/>
        <v>Row 150 - For a ‘Transport unit’ both ‘Location on board’ and ‘Amount’ are required</v>
      </c>
      <c r="L907" t="s">
        <v>1391</v>
      </c>
    </row>
    <row r="908" spans="7:12" x14ac:dyDescent="0.25">
      <c r="G908" t="b">
        <f>IF(OR(INDEX(IHZ_HAZ_UNITTYPE,151,1)&lt;&gt;"",),IF(OR(INDEX(IHZ_HAZ_LOCATION,151,1)="",INDEX(IHZ_HAZ_AMOUNT,151,1)="",),FALSE,TRUE),TRUE)</f>
        <v>1</v>
      </c>
      <c r="H908" t="str">
        <f t="shared" si="28"/>
        <v>Row 151 - For a ‘Transport unit’ both ‘Location on board’ and ‘Amount’ are required</v>
      </c>
      <c r="I908" t="s">
        <v>1391</v>
      </c>
      <c r="J908" t="b">
        <f>IF(OR(INDEX(OHZ_HAZ_UNITTYPE,151,1)&lt;&gt;"",),IF(OR(INDEX(OHZ_HAZ_LOCATION,151,1)="",INDEX(OHZ_HAZ_AMOUNT,151,1)="",),FALSE,TRUE),TRUE)</f>
        <v>1</v>
      </c>
      <c r="K908" t="str">
        <f t="shared" si="29"/>
        <v>Row 151 - For a ‘Transport unit’ both ‘Location on board’ and ‘Amount’ are required</v>
      </c>
      <c r="L908" t="s">
        <v>1391</v>
      </c>
    </row>
    <row r="909" spans="7:12" x14ac:dyDescent="0.25">
      <c r="G909" t="b">
        <f>IF(OR(INDEX(IHZ_HAZ_UNITTYPE,152,1)&lt;&gt;"",),IF(OR(INDEX(IHZ_HAZ_LOCATION,152,1)="",INDEX(IHZ_HAZ_AMOUNT,152,1)="",),FALSE,TRUE),TRUE)</f>
        <v>1</v>
      </c>
      <c r="H909" t="str">
        <f t="shared" si="28"/>
        <v>Row 152 - For a ‘Transport unit’ both ‘Location on board’ and ‘Amount’ are required</v>
      </c>
      <c r="I909" t="s">
        <v>1391</v>
      </c>
      <c r="J909" t="b">
        <f>IF(OR(INDEX(OHZ_HAZ_UNITTYPE,152,1)&lt;&gt;"",),IF(OR(INDEX(OHZ_HAZ_LOCATION,152,1)="",INDEX(OHZ_HAZ_AMOUNT,152,1)="",),FALSE,TRUE),TRUE)</f>
        <v>1</v>
      </c>
      <c r="K909" t="str">
        <f t="shared" si="29"/>
        <v>Row 152 - For a ‘Transport unit’ both ‘Location on board’ and ‘Amount’ are required</v>
      </c>
      <c r="L909" t="s">
        <v>1391</v>
      </c>
    </row>
    <row r="910" spans="7:12" x14ac:dyDescent="0.25">
      <c r="G910" t="b">
        <f>IF(OR(INDEX(IHZ_HAZ_UNITTYPE,153,1)&lt;&gt;"",),IF(OR(INDEX(IHZ_HAZ_LOCATION,153,1)="",INDEX(IHZ_HAZ_AMOUNT,153,1)="",),FALSE,TRUE),TRUE)</f>
        <v>1</v>
      </c>
      <c r="H910" t="str">
        <f t="shared" si="28"/>
        <v>Row 153 - For a ‘Transport unit’ both ‘Location on board’ and ‘Amount’ are required</v>
      </c>
      <c r="I910" t="s">
        <v>1391</v>
      </c>
      <c r="J910" t="b">
        <f>IF(OR(INDEX(OHZ_HAZ_UNITTYPE,153,1)&lt;&gt;"",),IF(OR(INDEX(OHZ_HAZ_LOCATION,153,1)="",INDEX(OHZ_HAZ_AMOUNT,153,1)="",),FALSE,TRUE),TRUE)</f>
        <v>1</v>
      </c>
      <c r="K910" t="str">
        <f t="shared" si="29"/>
        <v>Row 153 - For a ‘Transport unit’ both ‘Location on board’ and ‘Amount’ are required</v>
      </c>
      <c r="L910" t="s">
        <v>1391</v>
      </c>
    </row>
    <row r="911" spans="7:12" x14ac:dyDescent="0.25">
      <c r="G911" t="b">
        <f>IF(OR(INDEX(IHZ_HAZ_UNITTYPE,154,1)&lt;&gt;"",),IF(OR(INDEX(IHZ_HAZ_LOCATION,154,1)="",INDEX(IHZ_HAZ_AMOUNT,154,1)="",),FALSE,TRUE),TRUE)</f>
        <v>1</v>
      </c>
      <c r="H911" t="str">
        <f t="shared" si="28"/>
        <v>Row 154 - For a ‘Transport unit’ both ‘Location on board’ and ‘Amount’ are required</v>
      </c>
      <c r="I911" t="s">
        <v>1391</v>
      </c>
      <c r="J911" t="b">
        <f>IF(OR(INDEX(OHZ_HAZ_UNITTYPE,154,1)&lt;&gt;"",),IF(OR(INDEX(OHZ_HAZ_LOCATION,154,1)="",INDEX(OHZ_HAZ_AMOUNT,154,1)="",),FALSE,TRUE),TRUE)</f>
        <v>1</v>
      </c>
      <c r="K911" t="str">
        <f t="shared" si="29"/>
        <v>Row 154 - For a ‘Transport unit’ both ‘Location on board’ and ‘Amount’ are required</v>
      </c>
      <c r="L911" t="s">
        <v>1391</v>
      </c>
    </row>
    <row r="912" spans="7:12" x14ac:dyDescent="0.25">
      <c r="G912" t="b">
        <f>IF(OR(INDEX(IHZ_HAZ_UNITTYPE,155,1)&lt;&gt;"",),IF(OR(INDEX(IHZ_HAZ_LOCATION,155,1)="",INDEX(IHZ_HAZ_AMOUNT,155,1)="",),FALSE,TRUE),TRUE)</f>
        <v>1</v>
      </c>
      <c r="H912" t="str">
        <f t="shared" si="28"/>
        <v>Row 155 - For a ‘Transport unit’ both ‘Location on board’ and ‘Amount’ are required</v>
      </c>
      <c r="I912" t="s">
        <v>1391</v>
      </c>
      <c r="J912" t="b">
        <f>IF(OR(INDEX(OHZ_HAZ_UNITTYPE,155,1)&lt;&gt;"",),IF(OR(INDEX(OHZ_HAZ_LOCATION,155,1)="",INDEX(OHZ_HAZ_AMOUNT,155,1)="",),FALSE,TRUE),TRUE)</f>
        <v>1</v>
      </c>
      <c r="K912" t="str">
        <f t="shared" si="29"/>
        <v>Row 155 - For a ‘Transport unit’ both ‘Location on board’ and ‘Amount’ are required</v>
      </c>
      <c r="L912" t="s">
        <v>1391</v>
      </c>
    </row>
    <row r="913" spans="7:12" x14ac:dyDescent="0.25">
      <c r="G913" t="b">
        <f>IF(OR(INDEX(IHZ_HAZ_UNITTYPE,156,1)&lt;&gt;"",),IF(OR(INDEX(IHZ_HAZ_LOCATION,156,1)="",INDEX(IHZ_HAZ_AMOUNT,156,1)="",),FALSE,TRUE),TRUE)</f>
        <v>1</v>
      </c>
      <c r="H913" t="str">
        <f t="shared" si="28"/>
        <v>Row 156 - For a ‘Transport unit’ both ‘Location on board’ and ‘Amount’ are required</v>
      </c>
      <c r="I913" t="s">
        <v>1391</v>
      </c>
      <c r="J913" t="b">
        <f>IF(OR(INDEX(OHZ_HAZ_UNITTYPE,156,1)&lt;&gt;"",),IF(OR(INDEX(OHZ_HAZ_LOCATION,156,1)="",INDEX(OHZ_HAZ_AMOUNT,156,1)="",),FALSE,TRUE),TRUE)</f>
        <v>1</v>
      </c>
      <c r="K913" t="str">
        <f t="shared" si="29"/>
        <v>Row 156 - For a ‘Transport unit’ both ‘Location on board’ and ‘Amount’ are required</v>
      </c>
      <c r="L913" t="s">
        <v>1391</v>
      </c>
    </row>
    <row r="914" spans="7:12" x14ac:dyDescent="0.25">
      <c r="G914" t="b">
        <f>IF(OR(INDEX(IHZ_HAZ_UNITTYPE,157,1)&lt;&gt;"",),IF(OR(INDEX(IHZ_HAZ_LOCATION,157,1)="",INDEX(IHZ_HAZ_AMOUNT,157,1)="",),FALSE,TRUE),TRUE)</f>
        <v>1</v>
      </c>
      <c r="H914" t="str">
        <f t="shared" si="28"/>
        <v>Row 157 - For a ‘Transport unit’ both ‘Location on board’ and ‘Amount’ are required</v>
      </c>
      <c r="I914" t="s">
        <v>1391</v>
      </c>
      <c r="J914" t="b">
        <f>IF(OR(INDEX(OHZ_HAZ_UNITTYPE,157,1)&lt;&gt;"",),IF(OR(INDEX(OHZ_HAZ_LOCATION,157,1)="",INDEX(OHZ_HAZ_AMOUNT,157,1)="",),FALSE,TRUE),TRUE)</f>
        <v>1</v>
      </c>
      <c r="K914" t="str">
        <f t="shared" si="29"/>
        <v>Row 157 - For a ‘Transport unit’ both ‘Location on board’ and ‘Amount’ are required</v>
      </c>
      <c r="L914" t="s">
        <v>1391</v>
      </c>
    </row>
    <row r="915" spans="7:12" x14ac:dyDescent="0.25">
      <c r="G915" t="b">
        <f>IF(OR(INDEX(IHZ_HAZ_UNITTYPE,158,1)&lt;&gt;"",),IF(OR(INDEX(IHZ_HAZ_LOCATION,158,1)="",INDEX(IHZ_HAZ_AMOUNT,158,1)="",),FALSE,TRUE),TRUE)</f>
        <v>1</v>
      </c>
      <c r="H915" t="str">
        <f t="shared" si="28"/>
        <v>Row 158 - For a ‘Transport unit’ both ‘Location on board’ and ‘Amount’ are required</v>
      </c>
      <c r="I915" t="s">
        <v>1391</v>
      </c>
      <c r="J915" t="b">
        <f>IF(OR(INDEX(OHZ_HAZ_UNITTYPE,158,1)&lt;&gt;"",),IF(OR(INDEX(OHZ_HAZ_LOCATION,158,1)="",INDEX(OHZ_HAZ_AMOUNT,158,1)="",),FALSE,TRUE),TRUE)</f>
        <v>1</v>
      </c>
      <c r="K915" t="str">
        <f t="shared" si="29"/>
        <v>Row 158 - For a ‘Transport unit’ both ‘Location on board’ and ‘Amount’ are required</v>
      </c>
      <c r="L915" t="s">
        <v>1391</v>
      </c>
    </row>
    <row r="916" spans="7:12" x14ac:dyDescent="0.25">
      <c r="G916" t="b">
        <f>IF(OR(INDEX(IHZ_HAZ_UNITTYPE,159,1)&lt;&gt;"",),IF(OR(INDEX(IHZ_HAZ_LOCATION,159,1)="",INDEX(IHZ_HAZ_AMOUNT,159,1)="",),FALSE,TRUE),TRUE)</f>
        <v>1</v>
      </c>
      <c r="H916" t="str">
        <f t="shared" si="28"/>
        <v>Row 159 - For a ‘Transport unit’ both ‘Location on board’ and ‘Amount’ are required</v>
      </c>
      <c r="I916" t="s">
        <v>1391</v>
      </c>
      <c r="J916" t="b">
        <f>IF(OR(INDEX(OHZ_HAZ_UNITTYPE,159,1)&lt;&gt;"",),IF(OR(INDEX(OHZ_HAZ_LOCATION,159,1)="",INDEX(OHZ_HAZ_AMOUNT,159,1)="",),FALSE,TRUE),TRUE)</f>
        <v>1</v>
      </c>
      <c r="K916" t="str">
        <f t="shared" si="29"/>
        <v>Row 159 - For a ‘Transport unit’ both ‘Location on board’ and ‘Amount’ are required</v>
      </c>
      <c r="L916" t="s">
        <v>1391</v>
      </c>
    </row>
    <row r="917" spans="7:12" x14ac:dyDescent="0.25">
      <c r="G917" t="b">
        <f>IF(OR(INDEX(IHZ_HAZ_UNITTYPE,160,1)&lt;&gt;"",),IF(OR(INDEX(IHZ_HAZ_LOCATION,160,1)="",INDEX(IHZ_HAZ_AMOUNT,160,1)="",),FALSE,TRUE),TRUE)</f>
        <v>1</v>
      </c>
      <c r="H917" t="str">
        <f t="shared" si="28"/>
        <v>Row 160 - For a ‘Transport unit’ both ‘Location on board’ and ‘Amount’ are required</v>
      </c>
      <c r="I917" t="s">
        <v>1391</v>
      </c>
      <c r="J917" t="b">
        <f>IF(OR(INDEX(OHZ_HAZ_UNITTYPE,160,1)&lt;&gt;"",),IF(OR(INDEX(OHZ_HAZ_LOCATION,160,1)="",INDEX(OHZ_HAZ_AMOUNT,160,1)="",),FALSE,TRUE),TRUE)</f>
        <v>1</v>
      </c>
      <c r="K917" t="str">
        <f t="shared" si="29"/>
        <v>Row 160 - For a ‘Transport unit’ both ‘Location on board’ and ‘Amount’ are required</v>
      </c>
      <c r="L917" t="s">
        <v>1391</v>
      </c>
    </row>
    <row r="918" spans="7:12" x14ac:dyDescent="0.25">
      <c r="G918" t="b">
        <f>IF(OR(INDEX(IHZ_HAZ_UNITTYPE,161,1)&lt;&gt;"",),IF(OR(INDEX(IHZ_HAZ_LOCATION,161,1)="",INDEX(IHZ_HAZ_AMOUNT,161,1)="",),FALSE,TRUE),TRUE)</f>
        <v>1</v>
      </c>
      <c r="H918" t="str">
        <f t="shared" si="28"/>
        <v>Row 161 - For a ‘Transport unit’ both ‘Location on board’ and ‘Amount’ are required</v>
      </c>
      <c r="I918" t="s">
        <v>1391</v>
      </c>
      <c r="J918" t="b">
        <f>IF(OR(INDEX(OHZ_HAZ_UNITTYPE,161,1)&lt;&gt;"",),IF(OR(INDEX(OHZ_HAZ_LOCATION,161,1)="",INDEX(OHZ_HAZ_AMOUNT,161,1)="",),FALSE,TRUE),TRUE)</f>
        <v>1</v>
      </c>
      <c r="K918" t="str">
        <f t="shared" si="29"/>
        <v>Row 161 - For a ‘Transport unit’ both ‘Location on board’ and ‘Amount’ are required</v>
      </c>
      <c r="L918" t="s">
        <v>1391</v>
      </c>
    </row>
    <row r="919" spans="7:12" x14ac:dyDescent="0.25">
      <c r="G919" t="b">
        <f>IF(OR(INDEX(IHZ_HAZ_UNITTYPE,162,1)&lt;&gt;"",),IF(OR(INDEX(IHZ_HAZ_LOCATION,162,1)="",INDEX(IHZ_HAZ_AMOUNT,162,1)="",),FALSE,TRUE),TRUE)</f>
        <v>1</v>
      </c>
      <c r="H919" t="str">
        <f t="shared" si="28"/>
        <v>Row 162 - For a ‘Transport unit’ both ‘Location on board’ and ‘Amount’ are required</v>
      </c>
      <c r="I919" t="s">
        <v>1391</v>
      </c>
      <c r="J919" t="b">
        <f>IF(OR(INDEX(OHZ_HAZ_UNITTYPE,162,1)&lt;&gt;"",),IF(OR(INDEX(OHZ_HAZ_LOCATION,162,1)="",INDEX(OHZ_HAZ_AMOUNT,162,1)="",),FALSE,TRUE),TRUE)</f>
        <v>1</v>
      </c>
      <c r="K919" t="str">
        <f t="shared" si="29"/>
        <v>Row 162 - For a ‘Transport unit’ both ‘Location on board’ and ‘Amount’ are required</v>
      </c>
      <c r="L919" t="s">
        <v>1391</v>
      </c>
    </row>
    <row r="920" spans="7:12" x14ac:dyDescent="0.25">
      <c r="G920" t="b">
        <f>IF(OR(INDEX(IHZ_HAZ_UNITTYPE,163,1)&lt;&gt;"",),IF(OR(INDEX(IHZ_HAZ_LOCATION,163,1)="",INDEX(IHZ_HAZ_AMOUNT,163,1)="",),FALSE,TRUE),TRUE)</f>
        <v>1</v>
      </c>
      <c r="H920" t="str">
        <f t="shared" si="28"/>
        <v>Row 163 - For a ‘Transport unit’ both ‘Location on board’ and ‘Amount’ are required</v>
      </c>
      <c r="I920" t="s">
        <v>1391</v>
      </c>
      <c r="J920" t="b">
        <f>IF(OR(INDEX(OHZ_HAZ_UNITTYPE,163,1)&lt;&gt;"",),IF(OR(INDEX(OHZ_HAZ_LOCATION,163,1)="",INDEX(OHZ_HAZ_AMOUNT,163,1)="",),FALSE,TRUE),TRUE)</f>
        <v>1</v>
      </c>
      <c r="K920" t="str">
        <f t="shared" si="29"/>
        <v>Row 163 - For a ‘Transport unit’ both ‘Location on board’ and ‘Amount’ are required</v>
      </c>
      <c r="L920" t="s">
        <v>1391</v>
      </c>
    </row>
    <row r="921" spans="7:12" x14ac:dyDescent="0.25">
      <c r="G921" t="b">
        <f>IF(OR(INDEX(IHZ_HAZ_UNITTYPE,164,1)&lt;&gt;"",),IF(OR(INDEX(IHZ_HAZ_LOCATION,164,1)="",INDEX(IHZ_HAZ_AMOUNT,164,1)="",),FALSE,TRUE),TRUE)</f>
        <v>1</v>
      </c>
      <c r="H921" t="str">
        <f t="shared" si="28"/>
        <v>Row 164 - For a ‘Transport unit’ both ‘Location on board’ and ‘Amount’ are required</v>
      </c>
      <c r="I921" t="s">
        <v>1391</v>
      </c>
      <c r="J921" t="b">
        <f>IF(OR(INDEX(OHZ_HAZ_UNITTYPE,164,1)&lt;&gt;"",),IF(OR(INDEX(OHZ_HAZ_LOCATION,164,1)="",INDEX(OHZ_HAZ_AMOUNT,164,1)="",),FALSE,TRUE),TRUE)</f>
        <v>1</v>
      </c>
      <c r="K921" t="str">
        <f t="shared" si="29"/>
        <v>Row 164 - For a ‘Transport unit’ both ‘Location on board’ and ‘Amount’ are required</v>
      </c>
      <c r="L921" t="s">
        <v>1391</v>
      </c>
    </row>
    <row r="922" spans="7:12" x14ac:dyDescent="0.25">
      <c r="G922" t="b">
        <f>IF(OR(INDEX(IHZ_HAZ_UNITTYPE,165,1)&lt;&gt;"",),IF(OR(INDEX(IHZ_HAZ_LOCATION,165,1)="",INDEX(IHZ_HAZ_AMOUNT,165,1)="",),FALSE,TRUE),TRUE)</f>
        <v>1</v>
      </c>
      <c r="H922" t="str">
        <f t="shared" si="28"/>
        <v>Row 165 - For a ‘Transport unit’ both ‘Location on board’ and ‘Amount’ are required</v>
      </c>
      <c r="I922" t="s">
        <v>1391</v>
      </c>
      <c r="J922" t="b">
        <f>IF(OR(INDEX(OHZ_HAZ_UNITTYPE,165,1)&lt;&gt;"",),IF(OR(INDEX(OHZ_HAZ_LOCATION,165,1)="",INDEX(OHZ_HAZ_AMOUNT,165,1)="",),FALSE,TRUE),TRUE)</f>
        <v>1</v>
      </c>
      <c r="K922" t="str">
        <f t="shared" si="29"/>
        <v>Row 165 - For a ‘Transport unit’ both ‘Location on board’ and ‘Amount’ are required</v>
      </c>
      <c r="L922" t="s">
        <v>1391</v>
      </c>
    </row>
    <row r="923" spans="7:12" x14ac:dyDescent="0.25">
      <c r="G923" t="b">
        <f>IF(OR(INDEX(IHZ_HAZ_UNITTYPE,166,1)&lt;&gt;"",),IF(OR(INDEX(IHZ_HAZ_LOCATION,166,1)="",INDEX(IHZ_HAZ_AMOUNT,166,1)="",),FALSE,TRUE),TRUE)</f>
        <v>1</v>
      </c>
      <c r="H923" t="str">
        <f t="shared" si="28"/>
        <v>Row 166 - For a ‘Transport unit’ both ‘Location on board’ and ‘Amount’ are required</v>
      </c>
      <c r="I923" t="s">
        <v>1391</v>
      </c>
      <c r="J923" t="b">
        <f>IF(OR(INDEX(OHZ_HAZ_UNITTYPE,166,1)&lt;&gt;"",),IF(OR(INDEX(OHZ_HAZ_LOCATION,166,1)="",INDEX(OHZ_HAZ_AMOUNT,166,1)="",),FALSE,TRUE),TRUE)</f>
        <v>1</v>
      </c>
      <c r="K923" t="str">
        <f t="shared" si="29"/>
        <v>Row 166 - For a ‘Transport unit’ both ‘Location on board’ and ‘Amount’ are required</v>
      </c>
      <c r="L923" t="s">
        <v>1391</v>
      </c>
    </row>
    <row r="924" spans="7:12" x14ac:dyDescent="0.25">
      <c r="G924" t="b">
        <f>IF(OR(INDEX(IHZ_HAZ_UNITTYPE,167,1)&lt;&gt;"",),IF(OR(INDEX(IHZ_HAZ_LOCATION,167,1)="",INDEX(IHZ_HAZ_AMOUNT,167,1)="",),FALSE,TRUE),TRUE)</f>
        <v>1</v>
      </c>
      <c r="H924" t="str">
        <f t="shared" si="28"/>
        <v>Row 167 - For a ‘Transport unit’ both ‘Location on board’ and ‘Amount’ are required</v>
      </c>
      <c r="I924" t="s">
        <v>1391</v>
      </c>
      <c r="J924" t="b">
        <f>IF(OR(INDEX(OHZ_HAZ_UNITTYPE,167,1)&lt;&gt;"",),IF(OR(INDEX(OHZ_HAZ_LOCATION,167,1)="",INDEX(OHZ_HAZ_AMOUNT,167,1)="",),FALSE,TRUE),TRUE)</f>
        <v>1</v>
      </c>
      <c r="K924" t="str">
        <f t="shared" si="29"/>
        <v>Row 167 - For a ‘Transport unit’ both ‘Location on board’ and ‘Amount’ are required</v>
      </c>
      <c r="L924" t="s">
        <v>1391</v>
      </c>
    </row>
    <row r="925" spans="7:12" x14ac:dyDescent="0.25">
      <c r="G925" t="b">
        <f>IF(OR(INDEX(IHZ_HAZ_UNITTYPE,168,1)&lt;&gt;"",),IF(OR(INDEX(IHZ_HAZ_LOCATION,168,1)="",INDEX(IHZ_HAZ_AMOUNT,168,1)="",),FALSE,TRUE),TRUE)</f>
        <v>1</v>
      </c>
      <c r="H925" t="str">
        <f t="shared" si="28"/>
        <v>Row 168 - For a ‘Transport unit’ both ‘Location on board’ and ‘Amount’ are required</v>
      </c>
      <c r="I925" t="s">
        <v>1391</v>
      </c>
      <c r="J925" t="b">
        <f>IF(OR(INDEX(OHZ_HAZ_UNITTYPE,168,1)&lt;&gt;"",),IF(OR(INDEX(OHZ_HAZ_LOCATION,168,1)="",INDEX(OHZ_HAZ_AMOUNT,168,1)="",),FALSE,TRUE),TRUE)</f>
        <v>1</v>
      </c>
      <c r="K925" t="str">
        <f t="shared" si="29"/>
        <v>Row 168 - For a ‘Transport unit’ both ‘Location on board’ and ‘Amount’ are required</v>
      </c>
      <c r="L925" t="s">
        <v>1391</v>
      </c>
    </row>
    <row r="926" spans="7:12" x14ac:dyDescent="0.25">
      <c r="G926" t="b">
        <f>IF(OR(INDEX(IHZ_HAZ_UNITTYPE,169,1)&lt;&gt;"",),IF(OR(INDEX(IHZ_HAZ_LOCATION,169,1)="",INDEX(IHZ_HAZ_AMOUNT,169,1)="",),FALSE,TRUE),TRUE)</f>
        <v>1</v>
      </c>
      <c r="H926" t="str">
        <f t="shared" si="28"/>
        <v>Row 169 - For a ‘Transport unit’ both ‘Location on board’ and ‘Amount’ are required</v>
      </c>
      <c r="I926" t="s">
        <v>1391</v>
      </c>
      <c r="J926" t="b">
        <f>IF(OR(INDEX(OHZ_HAZ_UNITTYPE,169,1)&lt;&gt;"",),IF(OR(INDEX(OHZ_HAZ_LOCATION,169,1)="",INDEX(OHZ_HAZ_AMOUNT,169,1)="",),FALSE,TRUE),TRUE)</f>
        <v>1</v>
      </c>
      <c r="K926" t="str">
        <f t="shared" si="29"/>
        <v>Row 169 - For a ‘Transport unit’ both ‘Location on board’ and ‘Amount’ are required</v>
      </c>
      <c r="L926" t="s">
        <v>1391</v>
      </c>
    </row>
    <row r="927" spans="7:12" x14ac:dyDescent="0.25">
      <c r="G927" t="b">
        <f>IF(OR(INDEX(IHZ_HAZ_UNITTYPE,170,1)&lt;&gt;"",),IF(OR(INDEX(IHZ_HAZ_LOCATION,170,1)="",INDEX(IHZ_HAZ_AMOUNT,170,1)="",),FALSE,TRUE),TRUE)</f>
        <v>1</v>
      </c>
      <c r="H927" t="str">
        <f t="shared" si="28"/>
        <v>Row 170 - For a ‘Transport unit’ both ‘Location on board’ and ‘Amount’ are required</v>
      </c>
      <c r="I927" t="s">
        <v>1391</v>
      </c>
      <c r="J927" t="b">
        <f>IF(OR(INDEX(OHZ_HAZ_UNITTYPE,170,1)&lt;&gt;"",),IF(OR(INDEX(OHZ_HAZ_LOCATION,170,1)="",INDEX(OHZ_HAZ_AMOUNT,170,1)="",),FALSE,TRUE),TRUE)</f>
        <v>1</v>
      </c>
      <c r="K927" t="str">
        <f t="shared" si="29"/>
        <v>Row 170 - For a ‘Transport unit’ both ‘Location on board’ and ‘Amount’ are required</v>
      </c>
      <c r="L927" t="s">
        <v>1391</v>
      </c>
    </row>
    <row r="928" spans="7:12" x14ac:dyDescent="0.25">
      <c r="G928" t="b">
        <f>IF(OR(INDEX(IHZ_HAZ_UNITTYPE,171,1)&lt;&gt;"",),IF(OR(INDEX(IHZ_HAZ_LOCATION,171,1)="",INDEX(IHZ_HAZ_AMOUNT,171,1)="",),FALSE,TRUE),TRUE)</f>
        <v>1</v>
      </c>
      <c r="H928" t="str">
        <f t="shared" si="28"/>
        <v>Row 171 - For a ‘Transport unit’ both ‘Location on board’ and ‘Amount’ are required</v>
      </c>
      <c r="I928" t="s">
        <v>1391</v>
      </c>
      <c r="J928" t="b">
        <f>IF(OR(INDEX(OHZ_HAZ_UNITTYPE,171,1)&lt;&gt;"",),IF(OR(INDEX(OHZ_HAZ_LOCATION,171,1)="",INDEX(OHZ_HAZ_AMOUNT,171,1)="",),FALSE,TRUE),TRUE)</f>
        <v>1</v>
      </c>
      <c r="K928" t="str">
        <f t="shared" si="29"/>
        <v>Row 171 - For a ‘Transport unit’ both ‘Location on board’ and ‘Amount’ are required</v>
      </c>
      <c r="L928" t="s">
        <v>1391</v>
      </c>
    </row>
    <row r="929" spans="7:12" x14ac:dyDescent="0.25">
      <c r="G929" t="b">
        <f>IF(OR(INDEX(IHZ_HAZ_UNITTYPE,172,1)&lt;&gt;"",),IF(OR(INDEX(IHZ_HAZ_LOCATION,172,1)="",INDEX(IHZ_HAZ_AMOUNT,172,1)="",),FALSE,TRUE),TRUE)</f>
        <v>1</v>
      </c>
      <c r="H929" t="str">
        <f t="shared" si="28"/>
        <v>Row 172 - For a ‘Transport unit’ both ‘Location on board’ and ‘Amount’ are required</v>
      </c>
      <c r="I929" t="s">
        <v>1391</v>
      </c>
      <c r="J929" t="b">
        <f>IF(OR(INDEX(OHZ_HAZ_UNITTYPE,172,1)&lt;&gt;"",),IF(OR(INDEX(OHZ_HAZ_LOCATION,172,1)="",INDEX(OHZ_HAZ_AMOUNT,172,1)="",),FALSE,TRUE),TRUE)</f>
        <v>1</v>
      </c>
      <c r="K929" t="str">
        <f t="shared" si="29"/>
        <v>Row 172 - For a ‘Transport unit’ both ‘Location on board’ and ‘Amount’ are required</v>
      </c>
      <c r="L929" t="s">
        <v>1391</v>
      </c>
    </row>
    <row r="930" spans="7:12" x14ac:dyDescent="0.25">
      <c r="G930" t="b">
        <f>IF(OR(INDEX(IHZ_HAZ_UNITTYPE,173,1)&lt;&gt;"",),IF(OR(INDEX(IHZ_HAZ_LOCATION,173,1)="",INDEX(IHZ_HAZ_AMOUNT,173,1)="",),FALSE,TRUE),TRUE)</f>
        <v>1</v>
      </c>
      <c r="H930" t="str">
        <f t="shared" si="28"/>
        <v>Row 173 - For a ‘Transport unit’ both ‘Location on board’ and ‘Amount’ are required</v>
      </c>
      <c r="I930" t="s">
        <v>1391</v>
      </c>
      <c r="J930" t="b">
        <f>IF(OR(INDEX(OHZ_HAZ_UNITTYPE,173,1)&lt;&gt;"",),IF(OR(INDEX(OHZ_HAZ_LOCATION,173,1)="",INDEX(OHZ_HAZ_AMOUNT,173,1)="",),FALSE,TRUE),TRUE)</f>
        <v>1</v>
      </c>
      <c r="K930" t="str">
        <f t="shared" si="29"/>
        <v>Row 173 - For a ‘Transport unit’ both ‘Location on board’ and ‘Amount’ are required</v>
      </c>
      <c r="L930" t="s">
        <v>1391</v>
      </c>
    </row>
    <row r="931" spans="7:12" x14ac:dyDescent="0.25">
      <c r="G931" t="b">
        <f>IF(OR(INDEX(IHZ_HAZ_UNITTYPE,174,1)&lt;&gt;"",),IF(OR(INDEX(IHZ_HAZ_LOCATION,174,1)="",INDEX(IHZ_HAZ_AMOUNT,174,1)="",),FALSE,TRUE),TRUE)</f>
        <v>1</v>
      </c>
      <c r="H931" t="str">
        <f t="shared" si="28"/>
        <v>Row 174 - For a ‘Transport unit’ both ‘Location on board’ and ‘Amount’ are required</v>
      </c>
      <c r="I931" t="s">
        <v>1391</v>
      </c>
      <c r="J931" t="b">
        <f>IF(OR(INDEX(OHZ_HAZ_UNITTYPE,174,1)&lt;&gt;"",),IF(OR(INDEX(OHZ_HAZ_LOCATION,174,1)="",INDEX(OHZ_HAZ_AMOUNT,174,1)="",),FALSE,TRUE),TRUE)</f>
        <v>1</v>
      </c>
      <c r="K931" t="str">
        <f t="shared" si="29"/>
        <v>Row 174 - For a ‘Transport unit’ both ‘Location on board’ and ‘Amount’ are required</v>
      </c>
      <c r="L931" t="s">
        <v>1391</v>
      </c>
    </row>
    <row r="932" spans="7:12" x14ac:dyDescent="0.25">
      <c r="G932" t="b">
        <f>IF(OR(INDEX(IHZ_HAZ_UNITTYPE,175,1)&lt;&gt;"",),IF(OR(INDEX(IHZ_HAZ_LOCATION,175,1)="",INDEX(IHZ_HAZ_AMOUNT,175,1)="",),FALSE,TRUE),TRUE)</f>
        <v>1</v>
      </c>
      <c r="H932" t="str">
        <f t="shared" si="28"/>
        <v>Row 175 - For a ‘Transport unit’ both ‘Location on board’ and ‘Amount’ are required</v>
      </c>
      <c r="I932" t="s">
        <v>1391</v>
      </c>
      <c r="J932" t="b">
        <f>IF(OR(INDEX(OHZ_HAZ_UNITTYPE,175,1)&lt;&gt;"",),IF(OR(INDEX(OHZ_HAZ_LOCATION,175,1)="",INDEX(OHZ_HAZ_AMOUNT,175,1)="",),FALSE,TRUE),TRUE)</f>
        <v>1</v>
      </c>
      <c r="K932" t="str">
        <f t="shared" si="29"/>
        <v>Row 175 - For a ‘Transport unit’ both ‘Location on board’ and ‘Amount’ are required</v>
      </c>
      <c r="L932" t="s">
        <v>1391</v>
      </c>
    </row>
    <row r="933" spans="7:12" x14ac:dyDescent="0.25">
      <c r="G933" t="b">
        <f>IF(OR(INDEX(IHZ_HAZ_UNITTYPE,176,1)&lt;&gt;"",),IF(OR(INDEX(IHZ_HAZ_LOCATION,176,1)="",INDEX(IHZ_HAZ_AMOUNT,176,1)="",),FALSE,TRUE),TRUE)</f>
        <v>1</v>
      </c>
      <c r="H933" t="str">
        <f t="shared" si="28"/>
        <v>Row 176 - For a ‘Transport unit’ both ‘Location on board’ and ‘Amount’ are required</v>
      </c>
      <c r="I933" t="s">
        <v>1391</v>
      </c>
      <c r="J933" t="b">
        <f>IF(OR(INDEX(OHZ_HAZ_UNITTYPE,176,1)&lt;&gt;"",),IF(OR(INDEX(OHZ_HAZ_LOCATION,176,1)="",INDEX(OHZ_HAZ_AMOUNT,176,1)="",),FALSE,TRUE),TRUE)</f>
        <v>1</v>
      </c>
      <c r="K933" t="str">
        <f t="shared" si="29"/>
        <v>Row 176 - For a ‘Transport unit’ both ‘Location on board’ and ‘Amount’ are required</v>
      </c>
      <c r="L933" t="s">
        <v>1391</v>
      </c>
    </row>
    <row r="934" spans="7:12" x14ac:dyDescent="0.25">
      <c r="G934" t="b">
        <f>IF(OR(INDEX(IHZ_HAZ_UNITTYPE,177,1)&lt;&gt;"",),IF(OR(INDEX(IHZ_HAZ_LOCATION,177,1)="",INDEX(IHZ_HAZ_AMOUNT,177,1)="",),FALSE,TRUE),TRUE)</f>
        <v>1</v>
      </c>
      <c r="H934" t="str">
        <f t="shared" si="28"/>
        <v>Row 177 - For a ‘Transport unit’ both ‘Location on board’ and ‘Amount’ are required</v>
      </c>
      <c r="I934" t="s">
        <v>1391</v>
      </c>
      <c r="J934" t="b">
        <f>IF(OR(INDEX(OHZ_HAZ_UNITTYPE,177,1)&lt;&gt;"",),IF(OR(INDEX(OHZ_HAZ_LOCATION,177,1)="",INDEX(OHZ_HAZ_AMOUNT,177,1)="",),FALSE,TRUE),TRUE)</f>
        <v>1</v>
      </c>
      <c r="K934" t="str">
        <f t="shared" si="29"/>
        <v>Row 177 - For a ‘Transport unit’ both ‘Location on board’ and ‘Amount’ are required</v>
      </c>
      <c r="L934" t="s">
        <v>1391</v>
      </c>
    </row>
    <row r="935" spans="7:12" x14ac:dyDescent="0.25">
      <c r="G935" t="b">
        <f>IF(OR(INDEX(IHZ_HAZ_UNITTYPE,178,1)&lt;&gt;"",),IF(OR(INDEX(IHZ_HAZ_LOCATION,178,1)="",INDEX(IHZ_HAZ_AMOUNT,178,1)="",),FALSE,TRUE),TRUE)</f>
        <v>1</v>
      </c>
      <c r="H935" t="str">
        <f t="shared" si="28"/>
        <v>Row 178 - For a ‘Transport unit’ both ‘Location on board’ and ‘Amount’ are required</v>
      </c>
      <c r="I935" t="s">
        <v>1391</v>
      </c>
      <c r="J935" t="b">
        <f>IF(OR(INDEX(OHZ_HAZ_UNITTYPE,178,1)&lt;&gt;"",),IF(OR(INDEX(OHZ_HAZ_LOCATION,178,1)="",INDEX(OHZ_HAZ_AMOUNT,178,1)="",),FALSE,TRUE),TRUE)</f>
        <v>1</v>
      </c>
      <c r="K935" t="str">
        <f t="shared" si="29"/>
        <v>Row 178 - For a ‘Transport unit’ both ‘Location on board’ and ‘Amount’ are required</v>
      </c>
      <c r="L935" t="s">
        <v>1391</v>
      </c>
    </row>
    <row r="936" spans="7:12" x14ac:dyDescent="0.25">
      <c r="G936" t="b">
        <f>IF(OR(INDEX(IHZ_HAZ_UNITTYPE,179,1)&lt;&gt;"",),IF(OR(INDEX(IHZ_HAZ_LOCATION,179,1)="",INDEX(IHZ_HAZ_AMOUNT,179,1)="",),FALSE,TRUE),TRUE)</f>
        <v>1</v>
      </c>
      <c r="H936" t="str">
        <f t="shared" si="28"/>
        <v>Row 179 - For a ‘Transport unit’ both ‘Location on board’ and ‘Amount’ are required</v>
      </c>
      <c r="I936" t="s">
        <v>1391</v>
      </c>
      <c r="J936" t="b">
        <f>IF(OR(INDEX(OHZ_HAZ_UNITTYPE,179,1)&lt;&gt;"",),IF(OR(INDEX(OHZ_HAZ_LOCATION,179,1)="",INDEX(OHZ_HAZ_AMOUNT,179,1)="",),FALSE,TRUE),TRUE)</f>
        <v>1</v>
      </c>
      <c r="K936" t="str">
        <f t="shared" si="29"/>
        <v>Row 179 - For a ‘Transport unit’ both ‘Location on board’ and ‘Amount’ are required</v>
      </c>
      <c r="L936" t="s">
        <v>1391</v>
      </c>
    </row>
    <row r="937" spans="7:12" x14ac:dyDescent="0.25">
      <c r="G937" t="b">
        <f>IF(OR(INDEX(IHZ_HAZ_UNITTYPE,180,1)&lt;&gt;"",),IF(OR(INDEX(IHZ_HAZ_LOCATION,180,1)="",INDEX(IHZ_HAZ_AMOUNT,180,1)="",),FALSE,TRUE),TRUE)</f>
        <v>1</v>
      </c>
      <c r="H937" t="str">
        <f t="shared" si="28"/>
        <v>Row 180 - For a ‘Transport unit’ both ‘Location on board’ and ‘Amount’ are required</v>
      </c>
      <c r="I937" t="s">
        <v>1391</v>
      </c>
      <c r="J937" t="b">
        <f>IF(OR(INDEX(OHZ_HAZ_UNITTYPE,180,1)&lt;&gt;"",),IF(OR(INDEX(OHZ_HAZ_LOCATION,180,1)="",INDEX(OHZ_HAZ_AMOUNT,180,1)="",),FALSE,TRUE),TRUE)</f>
        <v>1</v>
      </c>
      <c r="K937" t="str">
        <f t="shared" si="29"/>
        <v>Row 180 - For a ‘Transport unit’ both ‘Location on board’ and ‘Amount’ are required</v>
      </c>
      <c r="L937" t="s">
        <v>1391</v>
      </c>
    </row>
    <row r="938" spans="7:12" x14ac:dyDescent="0.25">
      <c r="G938" t="b">
        <f>IF(OR(INDEX(IHZ_HAZ_UNITTYPE,181,1)&lt;&gt;"",),IF(OR(INDEX(IHZ_HAZ_LOCATION,181,1)="",INDEX(IHZ_HAZ_AMOUNT,181,1)="",),FALSE,TRUE),TRUE)</f>
        <v>1</v>
      </c>
      <c r="H938" t="str">
        <f t="shared" si="28"/>
        <v>Row 181 - For a ‘Transport unit’ both ‘Location on board’ and ‘Amount’ are required</v>
      </c>
      <c r="I938" t="s">
        <v>1391</v>
      </c>
      <c r="J938" t="b">
        <f>IF(OR(INDEX(OHZ_HAZ_UNITTYPE,181,1)&lt;&gt;"",),IF(OR(INDEX(OHZ_HAZ_LOCATION,181,1)="",INDEX(OHZ_HAZ_AMOUNT,181,1)="",),FALSE,TRUE),TRUE)</f>
        <v>1</v>
      </c>
      <c r="K938" t="str">
        <f t="shared" si="29"/>
        <v>Row 181 - For a ‘Transport unit’ both ‘Location on board’ and ‘Amount’ are required</v>
      </c>
      <c r="L938" t="s">
        <v>1391</v>
      </c>
    </row>
    <row r="939" spans="7:12" x14ac:dyDescent="0.25">
      <c r="G939" t="b">
        <f>IF(OR(INDEX(IHZ_HAZ_UNITTYPE,182,1)&lt;&gt;"",),IF(OR(INDEX(IHZ_HAZ_LOCATION,182,1)="",INDEX(IHZ_HAZ_AMOUNT,182,1)="",),FALSE,TRUE),TRUE)</f>
        <v>1</v>
      </c>
      <c r="H939" t="str">
        <f t="shared" si="28"/>
        <v>Row 182 - For a ‘Transport unit’ both ‘Location on board’ and ‘Amount’ are required</v>
      </c>
      <c r="I939" t="s">
        <v>1391</v>
      </c>
      <c r="J939" t="b">
        <f>IF(OR(INDEX(OHZ_HAZ_UNITTYPE,182,1)&lt;&gt;"",),IF(OR(INDEX(OHZ_HAZ_LOCATION,182,1)="",INDEX(OHZ_HAZ_AMOUNT,182,1)="",),FALSE,TRUE),TRUE)</f>
        <v>1</v>
      </c>
      <c r="K939" t="str">
        <f t="shared" si="29"/>
        <v>Row 182 - For a ‘Transport unit’ both ‘Location on board’ and ‘Amount’ are required</v>
      </c>
      <c r="L939" t="s">
        <v>1391</v>
      </c>
    </row>
    <row r="940" spans="7:12" x14ac:dyDescent="0.25">
      <c r="G940" t="b">
        <f>IF(OR(INDEX(IHZ_HAZ_UNITTYPE,183,1)&lt;&gt;"",),IF(OR(INDEX(IHZ_HAZ_LOCATION,183,1)="",INDEX(IHZ_HAZ_AMOUNT,183,1)="",),FALSE,TRUE),TRUE)</f>
        <v>1</v>
      </c>
      <c r="H940" t="str">
        <f t="shared" si="28"/>
        <v>Row 183 - For a ‘Transport unit’ both ‘Location on board’ and ‘Amount’ are required</v>
      </c>
      <c r="I940" t="s">
        <v>1391</v>
      </c>
      <c r="J940" t="b">
        <f>IF(OR(INDEX(OHZ_HAZ_UNITTYPE,183,1)&lt;&gt;"",),IF(OR(INDEX(OHZ_HAZ_LOCATION,183,1)="",INDEX(OHZ_HAZ_AMOUNT,183,1)="",),FALSE,TRUE),TRUE)</f>
        <v>1</v>
      </c>
      <c r="K940" t="str">
        <f t="shared" si="29"/>
        <v>Row 183 - For a ‘Transport unit’ both ‘Location on board’ and ‘Amount’ are required</v>
      </c>
      <c r="L940" t="s">
        <v>1391</v>
      </c>
    </row>
    <row r="941" spans="7:12" x14ac:dyDescent="0.25">
      <c r="G941" t="b">
        <f>IF(OR(INDEX(IHZ_HAZ_UNITTYPE,184,1)&lt;&gt;"",),IF(OR(INDEX(IHZ_HAZ_LOCATION,184,1)="",INDEX(IHZ_HAZ_AMOUNT,184,1)="",),FALSE,TRUE),TRUE)</f>
        <v>1</v>
      </c>
      <c r="H941" t="str">
        <f t="shared" si="28"/>
        <v>Row 184 - For a ‘Transport unit’ both ‘Location on board’ and ‘Amount’ are required</v>
      </c>
      <c r="I941" t="s">
        <v>1391</v>
      </c>
      <c r="J941" t="b">
        <f>IF(OR(INDEX(OHZ_HAZ_UNITTYPE,184,1)&lt;&gt;"",),IF(OR(INDEX(OHZ_HAZ_LOCATION,184,1)="",INDEX(OHZ_HAZ_AMOUNT,184,1)="",),FALSE,TRUE),TRUE)</f>
        <v>1</v>
      </c>
      <c r="K941" t="str">
        <f t="shared" si="29"/>
        <v>Row 184 - For a ‘Transport unit’ both ‘Location on board’ and ‘Amount’ are required</v>
      </c>
      <c r="L941" t="s">
        <v>1391</v>
      </c>
    </row>
    <row r="942" spans="7:12" x14ac:dyDescent="0.25">
      <c r="G942" t="b">
        <f>IF(OR(INDEX(IHZ_HAZ_UNITTYPE,185,1)&lt;&gt;"",),IF(OR(INDEX(IHZ_HAZ_LOCATION,185,1)="",INDEX(IHZ_HAZ_AMOUNT,185,1)="",),FALSE,TRUE),TRUE)</f>
        <v>1</v>
      </c>
      <c r="H942" t="str">
        <f t="shared" si="28"/>
        <v>Row 185 - For a ‘Transport unit’ both ‘Location on board’ and ‘Amount’ are required</v>
      </c>
      <c r="I942" t="s">
        <v>1391</v>
      </c>
      <c r="J942" t="b">
        <f>IF(OR(INDEX(OHZ_HAZ_UNITTYPE,185,1)&lt;&gt;"",),IF(OR(INDEX(OHZ_HAZ_LOCATION,185,1)="",INDEX(OHZ_HAZ_AMOUNT,185,1)="",),FALSE,TRUE),TRUE)</f>
        <v>1</v>
      </c>
      <c r="K942" t="str">
        <f t="shared" si="29"/>
        <v>Row 185 - For a ‘Transport unit’ both ‘Location on board’ and ‘Amount’ are required</v>
      </c>
      <c r="L942" t="s">
        <v>1391</v>
      </c>
    </row>
    <row r="943" spans="7:12" x14ac:dyDescent="0.25">
      <c r="G943" t="b">
        <f>IF(OR(INDEX(IHZ_HAZ_UNITTYPE,186,1)&lt;&gt;"",),IF(OR(INDEX(IHZ_HAZ_LOCATION,186,1)="",INDEX(IHZ_HAZ_AMOUNT,186,1)="",),FALSE,TRUE),TRUE)</f>
        <v>1</v>
      </c>
      <c r="H943" t="str">
        <f t="shared" si="28"/>
        <v>Row 186 - For a ‘Transport unit’ both ‘Location on board’ and ‘Amount’ are required</v>
      </c>
      <c r="I943" t="s">
        <v>1391</v>
      </c>
      <c r="J943" t="b">
        <f>IF(OR(INDEX(OHZ_HAZ_UNITTYPE,186,1)&lt;&gt;"",),IF(OR(INDEX(OHZ_HAZ_LOCATION,186,1)="",INDEX(OHZ_HAZ_AMOUNT,186,1)="",),FALSE,TRUE),TRUE)</f>
        <v>1</v>
      </c>
      <c r="K943" t="str">
        <f t="shared" si="29"/>
        <v>Row 186 - For a ‘Transport unit’ both ‘Location on board’ and ‘Amount’ are required</v>
      </c>
      <c r="L943" t="s">
        <v>1391</v>
      </c>
    </row>
    <row r="944" spans="7:12" x14ac:dyDescent="0.25">
      <c r="G944" t="b">
        <f>IF(OR(INDEX(IHZ_HAZ_UNITTYPE,187,1)&lt;&gt;"",),IF(OR(INDEX(IHZ_HAZ_LOCATION,187,1)="",INDEX(IHZ_HAZ_AMOUNT,187,1)="",),FALSE,TRUE),TRUE)</f>
        <v>1</v>
      </c>
      <c r="H944" t="str">
        <f t="shared" si="28"/>
        <v>Row 187 - For a ‘Transport unit’ both ‘Location on board’ and ‘Amount’ are required</v>
      </c>
      <c r="I944" t="s">
        <v>1391</v>
      </c>
      <c r="J944" t="b">
        <f>IF(OR(INDEX(OHZ_HAZ_UNITTYPE,187,1)&lt;&gt;"",),IF(OR(INDEX(OHZ_HAZ_LOCATION,187,1)="",INDEX(OHZ_HAZ_AMOUNT,187,1)="",),FALSE,TRUE),TRUE)</f>
        <v>1</v>
      </c>
      <c r="K944" t="str">
        <f t="shared" si="29"/>
        <v>Row 187 - For a ‘Transport unit’ both ‘Location on board’ and ‘Amount’ are required</v>
      </c>
      <c r="L944" t="s">
        <v>1391</v>
      </c>
    </row>
    <row r="945" spans="7:12" x14ac:dyDescent="0.25">
      <c r="G945" t="b">
        <f>IF(OR(INDEX(IHZ_HAZ_UNITTYPE,188,1)&lt;&gt;"",),IF(OR(INDEX(IHZ_HAZ_LOCATION,188,1)="",INDEX(IHZ_HAZ_AMOUNT,188,1)="",),FALSE,TRUE),TRUE)</f>
        <v>1</v>
      </c>
      <c r="H945" t="str">
        <f t="shared" si="28"/>
        <v>Row 188 - For a ‘Transport unit’ both ‘Location on board’ and ‘Amount’ are required</v>
      </c>
      <c r="I945" t="s">
        <v>1391</v>
      </c>
      <c r="J945" t="b">
        <f>IF(OR(INDEX(OHZ_HAZ_UNITTYPE,188,1)&lt;&gt;"",),IF(OR(INDEX(OHZ_HAZ_LOCATION,188,1)="",INDEX(OHZ_HAZ_AMOUNT,188,1)="",),FALSE,TRUE),TRUE)</f>
        <v>1</v>
      </c>
      <c r="K945" t="str">
        <f t="shared" si="29"/>
        <v>Row 188 - For a ‘Transport unit’ both ‘Location on board’ and ‘Amount’ are required</v>
      </c>
      <c r="L945" t="s">
        <v>1391</v>
      </c>
    </row>
    <row r="946" spans="7:12" x14ac:dyDescent="0.25">
      <c r="G946" t="b">
        <f>IF(OR(INDEX(IHZ_HAZ_UNITTYPE,189,1)&lt;&gt;"",),IF(OR(INDEX(IHZ_HAZ_LOCATION,189,1)="",INDEX(IHZ_HAZ_AMOUNT,189,1)="",),FALSE,TRUE),TRUE)</f>
        <v>1</v>
      </c>
      <c r="H946" t="str">
        <f t="shared" si="28"/>
        <v>Row 189 - For a ‘Transport unit’ both ‘Location on board’ and ‘Amount’ are required</v>
      </c>
      <c r="I946" t="s">
        <v>1391</v>
      </c>
      <c r="J946" t="b">
        <f>IF(OR(INDEX(OHZ_HAZ_UNITTYPE,189,1)&lt;&gt;"",),IF(OR(INDEX(OHZ_HAZ_LOCATION,189,1)="",INDEX(OHZ_HAZ_AMOUNT,189,1)="",),FALSE,TRUE),TRUE)</f>
        <v>1</v>
      </c>
      <c r="K946" t="str">
        <f t="shared" si="29"/>
        <v>Row 189 - For a ‘Transport unit’ both ‘Location on board’ and ‘Amount’ are required</v>
      </c>
      <c r="L946" t="s">
        <v>1391</v>
      </c>
    </row>
    <row r="947" spans="7:12" x14ac:dyDescent="0.25">
      <c r="G947" t="b">
        <f>IF(OR(INDEX(IHZ_HAZ_UNITTYPE,190,1)&lt;&gt;"",),IF(OR(INDEX(IHZ_HAZ_LOCATION,190,1)="",INDEX(IHZ_HAZ_AMOUNT,190,1)="",),FALSE,TRUE),TRUE)</f>
        <v>1</v>
      </c>
      <c r="H947" t="str">
        <f t="shared" si="28"/>
        <v>Row 190 - For a ‘Transport unit’ both ‘Location on board’ and ‘Amount’ are required</v>
      </c>
      <c r="I947" t="s">
        <v>1391</v>
      </c>
      <c r="J947" t="b">
        <f>IF(OR(INDEX(OHZ_HAZ_UNITTYPE,190,1)&lt;&gt;"",),IF(OR(INDEX(OHZ_HAZ_LOCATION,190,1)="",INDEX(OHZ_HAZ_AMOUNT,190,1)="",),FALSE,TRUE),TRUE)</f>
        <v>1</v>
      </c>
      <c r="K947" t="str">
        <f t="shared" si="29"/>
        <v>Row 190 - For a ‘Transport unit’ both ‘Location on board’ and ‘Amount’ are required</v>
      </c>
      <c r="L947" t="s">
        <v>1391</v>
      </c>
    </row>
    <row r="948" spans="7:12" x14ac:dyDescent="0.25">
      <c r="G948" t="b">
        <f>IF(OR(INDEX(IHZ_HAZ_UNITTYPE,191,1)&lt;&gt;"",),IF(OR(INDEX(IHZ_HAZ_LOCATION,191,1)="",INDEX(IHZ_HAZ_AMOUNT,191,1)="",),FALSE,TRUE),TRUE)</f>
        <v>1</v>
      </c>
      <c r="H948" t="str">
        <f t="shared" si="28"/>
        <v>Row 191 - For a ‘Transport unit’ both ‘Location on board’ and ‘Amount’ are required</v>
      </c>
      <c r="I948" t="s">
        <v>1391</v>
      </c>
      <c r="J948" t="b">
        <f>IF(OR(INDEX(OHZ_HAZ_UNITTYPE,191,1)&lt;&gt;"",),IF(OR(INDEX(OHZ_HAZ_LOCATION,191,1)="",INDEX(OHZ_HAZ_AMOUNT,191,1)="",),FALSE,TRUE),TRUE)</f>
        <v>1</v>
      </c>
      <c r="K948" t="str">
        <f t="shared" si="29"/>
        <v>Row 191 - For a ‘Transport unit’ both ‘Location on board’ and ‘Amount’ are required</v>
      </c>
      <c r="L948" t="s">
        <v>1391</v>
      </c>
    </row>
    <row r="949" spans="7:12" x14ac:dyDescent="0.25">
      <c r="G949" t="b">
        <f>IF(OR(INDEX(IHZ_HAZ_UNITTYPE,192,1)&lt;&gt;"",),IF(OR(INDEX(IHZ_HAZ_LOCATION,192,1)="",INDEX(IHZ_HAZ_AMOUNT,192,1)="",),FALSE,TRUE),TRUE)</f>
        <v>1</v>
      </c>
      <c r="H949" t="str">
        <f t="shared" si="28"/>
        <v>Row 192 - For a ‘Transport unit’ both ‘Location on board’ and ‘Amount’ are required</v>
      </c>
      <c r="I949" t="s">
        <v>1391</v>
      </c>
      <c r="J949" t="b">
        <f>IF(OR(INDEX(OHZ_HAZ_UNITTYPE,192,1)&lt;&gt;"",),IF(OR(INDEX(OHZ_HAZ_LOCATION,192,1)="",INDEX(OHZ_HAZ_AMOUNT,192,1)="",),FALSE,TRUE),TRUE)</f>
        <v>1</v>
      </c>
      <c r="K949" t="str">
        <f t="shared" si="29"/>
        <v>Row 192 - For a ‘Transport unit’ both ‘Location on board’ and ‘Amount’ are required</v>
      </c>
      <c r="L949" t="s">
        <v>1391</v>
      </c>
    </row>
    <row r="950" spans="7:12" x14ac:dyDescent="0.25">
      <c r="G950" t="b">
        <f>IF(OR(INDEX(IHZ_HAZ_UNITTYPE,193,1)&lt;&gt;"",),IF(OR(INDEX(IHZ_HAZ_LOCATION,193,1)="",INDEX(IHZ_HAZ_AMOUNT,193,1)="",),FALSE,TRUE),TRUE)</f>
        <v>1</v>
      </c>
      <c r="H950" t="str">
        <f t="shared" si="28"/>
        <v>Row 193 - For a ‘Transport unit’ both ‘Location on board’ and ‘Amount’ are required</v>
      </c>
      <c r="I950" t="s">
        <v>1391</v>
      </c>
      <c r="J950" t="b">
        <f>IF(OR(INDEX(OHZ_HAZ_UNITTYPE,193,1)&lt;&gt;"",),IF(OR(INDEX(OHZ_HAZ_LOCATION,193,1)="",INDEX(OHZ_HAZ_AMOUNT,193,1)="",),FALSE,TRUE),TRUE)</f>
        <v>1</v>
      </c>
      <c r="K950" t="str">
        <f t="shared" si="29"/>
        <v>Row 193 - For a ‘Transport unit’ both ‘Location on board’ and ‘Amount’ are required</v>
      </c>
      <c r="L950" t="s">
        <v>1391</v>
      </c>
    </row>
    <row r="951" spans="7:12" x14ac:dyDescent="0.25">
      <c r="G951" t="b">
        <f>IF(OR(INDEX(IHZ_HAZ_UNITTYPE,194,1)&lt;&gt;"",),IF(OR(INDEX(IHZ_HAZ_LOCATION,194,1)="",INDEX(IHZ_HAZ_AMOUNT,194,1)="",),FALSE,TRUE),TRUE)</f>
        <v>1</v>
      </c>
      <c r="H951" t="str">
        <f t="shared" ref="H951:H1007" si="30">T194&amp;$V$4</f>
        <v>Row 194 - For a ‘Transport unit’ both ‘Location on board’ and ‘Amount’ are required</v>
      </c>
      <c r="I951" t="s">
        <v>1391</v>
      </c>
      <c r="J951" t="b">
        <f>IF(OR(INDEX(OHZ_HAZ_UNITTYPE,194,1)&lt;&gt;"",),IF(OR(INDEX(OHZ_HAZ_LOCATION,194,1)="",INDEX(OHZ_HAZ_AMOUNT,194,1)="",),FALSE,TRUE),TRUE)</f>
        <v>1</v>
      </c>
      <c r="K951" t="str">
        <f t="shared" ref="K951:K1007" si="31">T194&amp;$V$4</f>
        <v>Row 194 - For a ‘Transport unit’ both ‘Location on board’ and ‘Amount’ are required</v>
      </c>
      <c r="L951" t="s">
        <v>1391</v>
      </c>
    </row>
    <row r="952" spans="7:12" x14ac:dyDescent="0.25">
      <c r="G952" t="b">
        <f>IF(OR(INDEX(IHZ_HAZ_UNITTYPE,195,1)&lt;&gt;"",),IF(OR(INDEX(IHZ_HAZ_LOCATION,195,1)="",INDEX(IHZ_HAZ_AMOUNT,195,1)="",),FALSE,TRUE),TRUE)</f>
        <v>1</v>
      </c>
      <c r="H952" t="str">
        <f t="shared" si="30"/>
        <v>Row 195 - For a ‘Transport unit’ both ‘Location on board’ and ‘Amount’ are required</v>
      </c>
      <c r="I952" t="s">
        <v>1391</v>
      </c>
      <c r="J952" t="b">
        <f>IF(OR(INDEX(OHZ_HAZ_UNITTYPE,195,1)&lt;&gt;"",),IF(OR(INDEX(OHZ_HAZ_LOCATION,195,1)="",INDEX(OHZ_HAZ_AMOUNT,195,1)="",),FALSE,TRUE),TRUE)</f>
        <v>1</v>
      </c>
      <c r="K952" t="str">
        <f t="shared" si="31"/>
        <v>Row 195 - For a ‘Transport unit’ both ‘Location on board’ and ‘Amount’ are required</v>
      </c>
      <c r="L952" t="s">
        <v>1391</v>
      </c>
    </row>
    <row r="953" spans="7:12" x14ac:dyDescent="0.25">
      <c r="G953" t="b">
        <f>IF(OR(INDEX(IHZ_HAZ_UNITTYPE,196,1)&lt;&gt;"",),IF(OR(INDEX(IHZ_HAZ_LOCATION,196,1)="",INDEX(IHZ_HAZ_AMOUNT,196,1)="",),FALSE,TRUE),TRUE)</f>
        <v>1</v>
      </c>
      <c r="H953" t="str">
        <f t="shared" si="30"/>
        <v>Row 196 - For a ‘Transport unit’ both ‘Location on board’ and ‘Amount’ are required</v>
      </c>
      <c r="I953" t="s">
        <v>1391</v>
      </c>
      <c r="J953" t="b">
        <f>IF(OR(INDEX(OHZ_HAZ_UNITTYPE,196,1)&lt;&gt;"",),IF(OR(INDEX(OHZ_HAZ_LOCATION,196,1)="",INDEX(OHZ_HAZ_AMOUNT,196,1)="",),FALSE,TRUE),TRUE)</f>
        <v>1</v>
      </c>
      <c r="K953" t="str">
        <f t="shared" si="31"/>
        <v>Row 196 - For a ‘Transport unit’ both ‘Location on board’ and ‘Amount’ are required</v>
      </c>
      <c r="L953" t="s">
        <v>1391</v>
      </c>
    </row>
    <row r="954" spans="7:12" x14ac:dyDescent="0.25">
      <c r="G954" t="b">
        <f>IF(OR(INDEX(IHZ_HAZ_UNITTYPE,197,1)&lt;&gt;"",),IF(OR(INDEX(IHZ_HAZ_LOCATION,197,1)="",INDEX(IHZ_HAZ_AMOUNT,197,1)="",),FALSE,TRUE),TRUE)</f>
        <v>1</v>
      </c>
      <c r="H954" t="str">
        <f t="shared" si="30"/>
        <v>Row 197 - For a ‘Transport unit’ both ‘Location on board’ and ‘Amount’ are required</v>
      </c>
      <c r="I954" t="s">
        <v>1391</v>
      </c>
      <c r="J954" t="b">
        <f>IF(OR(INDEX(OHZ_HAZ_UNITTYPE,197,1)&lt;&gt;"",),IF(OR(INDEX(OHZ_HAZ_LOCATION,197,1)="",INDEX(OHZ_HAZ_AMOUNT,197,1)="",),FALSE,TRUE),TRUE)</f>
        <v>1</v>
      </c>
      <c r="K954" t="str">
        <f t="shared" si="31"/>
        <v>Row 197 - For a ‘Transport unit’ both ‘Location on board’ and ‘Amount’ are required</v>
      </c>
      <c r="L954" t="s">
        <v>1391</v>
      </c>
    </row>
    <row r="955" spans="7:12" x14ac:dyDescent="0.25">
      <c r="G955" t="b">
        <f>IF(OR(INDEX(IHZ_HAZ_UNITTYPE,198,1)&lt;&gt;"",),IF(OR(INDEX(IHZ_HAZ_LOCATION,198,1)="",INDEX(IHZ_HAZ_AMOUNT,198,1)="",),FALSE,TRUE),TRUE)</f>
        <v>1</v>
      </c>
      <c r="H955" t="str">
        <f t="shared" si="30"/>
        <v>Row 198 - For a ‘Transport unit’ both ‘Location on board’ and ‘Amount’ are required</v>
      </c>
      <c r="I955" t="s">
        <v>1391</v>
      </c>
      <c r="J955" t="b">
        <f>IF(OR(INDEX(OHZ_HAZ_UNITTYPE,198,1)&lt;&gt;"",),IF(OR(INDEX(OHZ_HAZ_LOCATION,198,1)="",INDEX(OHZ_HAZ_AMOUNT,198,1)="",),FALSE,TRUE),TRUE)</f>
        <v>1</v>
      </c>
      <c r="K955" t="str">
        <f t="shared" si="31"/>
        <v>Row 198 - For a ‘Transport unit’ both ‘Location on board’ and ‘Amount’ are required</v>
      </c>
      <c r="L955" t="s">
        <v>1391</v>
      </c>
    </row>
    <row r="956" spans="7:12" x14ac:dyDescent="0.25">
      <c r="G956" t="b">
        <f>IF(OR(INDEX(IHZ_HAZ_UNITTYPE,199,1)&lt;&gt;"",),IF(OR(INDEX(IHZ_HAZ_LOCATION,199,1)="",INDEX(IHZ_HAZ_AMOUNT,199,1)="",),FALSE,TRUE),TRUE)</f>
        <v>1</v>
      </c>
      <c r="H956" t="str">
        <f t="shared" si="30"/>
        <v>Row 199 - For a ‘Transport unit’ both ‘Location on board’ and ‘Amount’ are required</v>
      </c>
      <c r="I956" t="s">
        <v>1391</v>
      </c>
      <c r="J956" t="b">
        <f>IF(OR(INDEX(OHZ_HAZ_UNITTYPE,199,1)&lt;&gt;"",),IF(OR(INDEX(OHZ_HAZ_LOCATION,199,1)="",INDEX(OHZ_HAZ_AMOUNT,199,1)="",),FALSE,TRUE),TRUE)</f>
        <v>1</v>
      </c>
      <c r="K956" t="str">
        <f t="shared" si="31"/>
        <v>Row 199 - For a ‘Transport unit’ both ‘Location on board’ and ‘Amount’ are required</v>
      </c>
      <c r="L956" t="s">
        <v>1391</v>
      </c>
    </row>
    <row r="957" spans="7:12" x14ac:dyDescent="0.25">
      <c r="G957" t="b">
        <f>IF(OR(INDEX(IHZ_HAZ_UNITTYPE,200,1)&lt;&gt;"",),IF(OR(INDEX(IHZ_HAZ_LOCATION,200,1)="",INDEX(IHZ_HAZ_AMOUNT,200,1)="",),FALSE,TRUE),TRUE)</f>
        <v>1</v>
      </c>
      <c r="H957" t="str">
        <f t="shared" si="30"/>
        <v>Row 200 - For a ‘Transport unit’ both ‘Location on board’ and ‘Amount’ are required</v>
      </c>
      <c r="I957" t="s">
        <v>1391</v>
      </c>
      <c r="J957" t="b">
        <f>IF(OR(INDEX(OHZ_HAZ_UNITTYPE,200,1)&lt;&gt;"",),IF(OR(INDEX(OHZ_HAZ_LOCATION,200,1)="",INDEX(OHZ_HAZ_AMOUNT,200,1)="",),FALSE,TRUE),TRUE)</f>
        <v>1</v>
      </c>
      <c r="K957" t="str">
        <f t="shared" si="31"/>
        <v>Row 200 - For a ‘Transport unit’ both ‘Location on board’ and ‘Amount’ are required</v>
      </c>
      <c r="L957" t="s">
        <v>1391</v>
      </c>
    </row>
    <row r="958" spans="7:12" x14ac:dyDescent="0.25">
      <c r="G958" t="b">
        <f>IF(OR(INDEX(IHZ_HAZ_UNITTYPE,201,1)&lt;&gt;"",),IF(OR(INDEX(IHZ_HAZ_LOCATION,201,1)="",INDEX(IHZ_HAZ_AMOUNT,201,1)="",),FALSE,TRUE),TRUE)</f>
        <v>1</v>
      </c>
      <c r="H958" t="str">
        <f t="shared" si="30"/>
        <v>Row 201 - For a ‘Transport unit’ both ‘Location on board’ and ‘Amount’ are required</v>
      </c>
      <c r="I958" t="s">
        <v>1391</v>
      </c>
      <c r="J958" t="b">
        <f>IF(OR(INDEX(OHZ_HAZ_UNITTYPE,201,1)&lt;&gt;"",),IF(OR(INDEX(OHZ_HAZ_LOCATION,201,1)="",INDEX(OHZ_HAZ_AMOUNT,201,1)="",),FALSE,TRUE),TRUE)</f>
        <v>1</v>
      </c>
      <c r="K958" t="str">
        <f t="shared" si="31"/>
        <v>Row 201 - For a ‘Transport unit’ both ‘Location on board’ and ‘Amount’ are required</v>
      </c>
      <c r="L958" t="s">
        <v>1391</v>
      </c>
    </row>
    <row r="959" spans="7:12" x14ac:dyDescent="0.25">
      <c r="G959" t="b">
        <f>IF(OR(INDEX(IHZ_HAZ_UNITTYPE,202,1)&lt;&gt;"",),IF(OR(INDEX(IHZ_HAZ_LOCATION,202,1)="",INDEX(IHZ_HAZ_AMOUNT,202,1)="",),FALSE,TRUE),TRUE)</f>
        <v>1</v>
      </c>
      <c r="H959" t="str">
        <f t="shared" si="30"/>
        <v>Row 202 - For a ‘Transport unit’ both ‘Location on board’ and ‘Amount’ are required</v>
      </c>
      <c r="I959" t="s">
        <v>1391</v>
      </c>
      <c r="J959" t="b">
        <f>IF(OR(INDEX(OHZ_HAZ_UNITTYPE,202,1)&lt;&gt;"",),IF(OR(INDEX(OHZ_HAZ_LOCATION,202,1)="",INDEX(OHZ_HAZ_AMOUNT,202,1)="",),FALSE,TRUE),TRUE)</f>
        <v>1</v>
      </c>
      <c r="K959" t="str">
        <f t="shared" si="31"/>
        <v>Row 202 - For a ‘Transport unit’ both ‘Location on board’ and ‘Amount’ are required</v>
      </c>
      <c r="L959" t="s">
        <v>1391</v>
      </c>
    </row>
    <row r="960" spans="7:12" x14ac:dyDescent="0.25">
      <c r="G960" t="b">
        <f>IF(OR(INDEX(IHZ_HAZ_UNITTYPE,203,1)&lt;&gt;"",),IF(OR(INDEX(IHZ_HAZ_LOCATION,203,1)="",INDEX(IHZ_HAZ_AMOUNT,203,1)="",),FALSE,TRUE),TRUE)</f>
        <v>1</v>
      </c>
      <c r="H960" t="str">
        <f t="shared" si="30"/>
        <v>Row 203 - For a ‘Transport unit’ both ‘Location on board’ and ‘Amount’ are required</v>
      </c>
      <c r="I960" t="s">
        <v>1391</v>
      </c>
      <c r="J960" t="b">
        <f>IF(OR(INDEX(OHZ_HAZ_UNITTYPE,203,1)&lt;&gt;"",),IF(OR(INDEX(OHZ_HAZ_LOCATION,203,1)="",INDEX(OHZ_HAZ_AMOUNT,203,1)="",),FALSE,TRUE),TRUE)</f>
        <v>1</v>
      </c>
      <c r="K960" t="str">
        <f t="shared" si="31"/>
        <v>Row 203 - For a ‘Transport unit’ both ‘Location on board’ and ‘Amount’ are required</v>
      </c>
      <c r="L960" t="s">
        <v>1391</v>
      </c>
    </row>
    <row r="961" spans="7:12" x14ac:dyDescent="0.25">
      <c r="G961" t="b">
        <f>IF(OR(INDEX(IHZ_HAZ_UNITTYPE,204,1)&lt;&gt;"",),IF(OR(INDEX(IHZ_HAZ_LOCATION,204,1)="",INDEX(IHZ_HAZ_AMOUNT,204,1)="",),FALSE,TRUE),TRUE)</f>
        <v>1</v>
      </c>
      <c r="H961" t="str">
        <f t="shared" si="30"/>
        <v>Row 204 - For a ‘Transport unit’ both ‘Location on board’ and ‘Amount’ are required</v>
      </c>
      <c r="I961" t="s">
        <v>1391</v>
      </c>
      <c r="J961" t="b">
        <f>IF(OR(INDEX(OHZ_HAZ_UNITTYPE,204,1)&lt;&gt;"",),IF(OR(INDEX(OHZ_HAZ_LOCATION,204,1)="",INDEX(OHZ_HAZ_AMOUNT,204,1)="",),FALSE,TRUE),TRUE)</f>
        <v>1</v>
      </c>
      <c r="K961" t="str">
        <f t="shared" si="31"/>
        <v>Row 204 - For a ‘Transport unit’ both ‘Location on board’ and ‘Amount’ are required</v>
      </c>
      <c r="L961" t="s">
        <v>1391</v>
      </c>
    </row>
    <row r="962" spans="7:12" x14ac:dyDescent="0.25">
      <c r="G962" t="b">
        <f>IF(OR(INDEX(IHZ_HAZ_UNITTYPE,205,1)&lt;&gt;"",),IF(OR(INDEX(IHZ_HAZ_LOCATION,205,1)="",INDEX(IHZ_HAZ_AMOUNT,205,1)="",),FALSE,TRUE),TRUE)</f>
        <v>1</v>
      </c>
      <c r="H962" t="str">
        <f t="shared" si="30"/>
        <v>Row 205 - For a ‘Transport unit’ both ‘Location on board’ and ‘Amount’ are required</v>
      </c>
      <c r="I962" t="s">
        <v>1391</v>
      </c>
      <c r="J962" t="b">
        <f>IF(OR(INDEX(OHZ_HAZ_UNITTYPE,205,1)&lt;&gt;"",),IF(OR(INDEX(OHZ_HAZ_LOCATION,205,1)="",INDEX(OHZ_HAZ_AMOUNT,205,1)="",),FALSE,TRUE),TRUE)</f>
        <v>1</v>
      </c>
      <c r="K962" t="str">
        <f t="shared" si="31"/>
        <v>Row 205 - For a ‘Transport unit’ both ‘Location on board’ and ‘Amount’ are required</v>
      </c>
      <c r="L962" t="s">
        <v>1391</v>
      </c>
    </row>
    <row r="963" spans="7:12" x14ac:dyDescent="0.25">
      <c r="G963" t="b">
        <f>IF(OR(INDEX(IHZ_HAZ_UNITTYPE,206,1)&lt;&gt;"",),IF(OR(INDEX(IHZ_HAZ_LOCATION,206,1)="",INDEX(IHZ_HAZ_AMOUNT,206,1)="",),FALSE,TRUE),TRUE)</f>
        <v>1</v>
      </c>
      <c r="H963" t="str">
        <f t="shared" si="30"/>
        <v>Row 206 - For a ‘Transport unit’ both ‘Location on board’ and ‘Amount’ are required</v>
      </c>
      <c r="I963" t="s">
        <v>1391</v>
      </c>
      <c r="J963" t="b">
        <f>IF(OR(INDEX(OHZ_HAZ_UNITTYPE,206,1)&lt;&gt;"",),IF(OR(INDEX(OHZ_HAZ_LOCATION,206,1)="",INDEX(OHZ_HAZ_AMOUNT,206,1)="",),FALSE,TRUE),TRUE)</f>
        <v>1</v>
      </c>
      <c r="K963" t="str">
        <f t="shared" si="31"/>
        <v>Row 206 - For a ‘Transport unit’ both ‘Location on board’ and ‘Amount’ are required</v>
      </c>
      <c r="L963" t="s">
        <v>1391</v>
      </c>
    </row>
    <row r="964" spans="7:12" x14ac:dyDescent="0.25">
      <c r="G964" t="b">
        <f>IF(OR(INDEX(IHZ_HAZ_UNITTYPE,207,1)&lt;&gt;"",),IF(OR(INDEX(IHZ_HAZ_LOCATION,207,1)="",INDEX(IHZ_HAZ_AMOUNT,207,1)="",),FALSE,TRUE),TRUE)</f>
        <v>1</v>
      </c>
      <c r="H964" t="str">
        <f t="shared" si="30"/>
        <v>Row 207 - For a ‘Transport unit’ both ‘Location on board’ and ‘Amount’ are required</v>
      </c>
      <c r="I964" t="s">
        <v>1391</v>
      </c>
      <c r="J964" t="b">
        <f>IF(OR(INDEX(OHZ_HAZ_UNITTYPE,207,1)&lt;&gt;"",),IF(OR(INDEX(OHZ_HAZ_LOCATION,207,1)="",INDEX(OHZ_HAZ_AMOUNT,207,1)="",),FALSE,TRUE),TRUE)</f>
        <v>1</v>
      </c>
      <c r="K964" t="str">
        <f t="shared" si="31"/>
        <v>Row 207 - For a ‘Transport unit’ both ‘Location on board’ and ‘Amount’ are required</v>
      </c>
      <c r="L964" t="s">
        <v>1391</v>
      </c>
    </row>
    <row r="965" spans="7:12" x14ac:dyDescent="0.25">
      <c r="G965" t="b">
        <f>IF(OR(INDEX(IHZ_HAZ_UNITTYPE,208,1)&lt;&gt;"",),IF(OR(INDEX(IHZ_HAZ_LOCATION,208,1)="",INDEX(IHZ_HAZ_AMOUNT,208,1)="",),FALSE,TRUE),TRUE)</f>
        <v>1</v>
      </c>
      <c r="H965" t="str">
        <f t="shared" si="30"/>
        <v>Row 208 - For a ‘Transport unit’ both ‘Location on board’ and ‘Amount’ are required</v>
      </c>
      <c r="I965" t="s">
        <v>1391</v>
      </c>
      <c r="J965" t="b">
        <f>IF(OR(INDEX(OHZ_HAZ_UNITTYPE,208,1)&lt;&gt;"",),IF(OR(INDEX(OHZ_HAZ_LOCATION,208,1)="",INDEX(OHZ_HAZ_AMOUNT,208,1)="",),FALSE,TRUE),TRUE)</f>
        <v>1</v>
      </c>
      <c r="K965" t="str">
        <f t="shared" si="31"/>
        <v>Row 208 - For a ‘Transport unit’ both ‘Location on board’ and ‘Amount’ are required</v>
      </c>
      <c r="L965" t="s">
        <v>1391</v>
      </c>
    </row>
    <row r="966" spans="7:12" x14ac:dyDescent="0.25">
      <c r="G966" t="b">
        <f>IF(OR(INDEX(IHZ_HAZ_UNITTYPE,209,1)&lt;&gt;"",),IF(OR(INDEX(IHZ_HAZ_LOCATION,209,1)="",INDEX(IHZ_HAZ_AMOUNT,209,1)="",),FALSE,TRUE),TRUE)</f>
        <v>1</v>
      </c>
      <c r="H966" t="str">
        <f t="shared" si="30"/>
        <v>Row 209 - For a ‘Transport unit’ both ‘Location on board’ and ‘Amount’ are required</v>
      </c>
      <c r="I966" t="s">
        <v>1391</v>
      </c>
      <c r="J966" t="b">
        <f>IF(OR(INDEX(OHZ_HAZ_UNITTYPE,209,1)&lt;&gt;"",),IF(OR(INDEX(OHZ_HAZ_LOCATION,209,1)="",INDEX(OHZ_HAZ_AMOUNT,209,1)="",),FALSE,TRUE),TRUE)</f>
        <v>1</v>
      </c>
      <c r="K966" t="str">
        <f t="shared" si="31"/>
        <v>Row 209 - For a ‘Transport unit’ both ‘Location on board’ and ‘Amount’ are required</v>
      </c>
      <c r="L966" t="s">
        <v>1391</v>
      </c>
    </row>
    <row r="967" spans="7:12" x14ac:dyDescent="0.25">
      <c r="G967" t="b">
        <f>IF(OR(INDEX(IHZ_HAZ_UNITTYPE,210,1)&lt;&gt;"",),IF(OR(INDEX(IHZ_HAZ_LOCATION,210,1)="",INDEX(IHZ_HAZ_AMOUNT,210,1)="",),FALSE,TRUE),TRUE)</f>
        <v>1</v>
      </c>
      <c r="H967" t="str">
        <f t="shared" si="30"/>
        <v>Row 210 - For a ‘Transport unit’ both ‘Location on board’ and ‘Amount’ are required</v>
      </c>
      <c r="I967" t="s">
        <v>1391</v>
      </c>
      <c r="J967" t="b">
        <f>IF(OR(INDEX(OHZ_HAZ_UNITTYPE,210,1)&lt;&gt;"",),IF(OR(INDEX(OHZ_HAZ_LOCATION,210,1)="",INDEX(OHZ_HAZ_AMOUNT,210,1)="",),FALSE,TRUE),TRUE)</f>
        <v>1</v>
      </c>
      <c r="K967" t="str">
        <f t="shared" si="31"/>
        <v>Row 210 - For a ‘Transport unit’ both ‘Location on board’ and ‘Amount’ are required</v>
      </c>
      <c r="L967" t="s">
        <v>1391</v>
      </c>
    </row>
    <row r="968" spans="7:12" x14ac:dyDescent="0.25">
      <c r="G968" t="b">
        <f>IF(OR(INDEX(IHZ_HAZ_UNITTYPE,211,1)&lt;&gt;"",),IF(OR(INDEX(IHZ_HAZ_LOCATION,211,1)="",INDEX(IHZ_HAZ_AMOUNT,211,1)="",),FALSE,TRUE),TRUE)</f>
        <v>1</v>
      </c>
      <c r="H968" t="str">
        <f t="shared" si="30"/>
        <v>Row 211 - For a ‘Transport unit’ both ‘Location on board’ and ‘Amount’ are required</v>
      </c>
      <c r="I968" t="s">
        <v>1391</v>
      </c>
      <c r="J968" t="b">
        <f>IF(OR(INDEX(OHZ_HAZ_UNITTYPE,211,1)&lt;&gt;"",),IF(OR(INDEX(OHZ_HAZ_LOCATION,211,1)="",INDEX(OHZ_HAZ_AMOUNT,211,1)="",),FALSE,TRUE),TRUE)</f>
        <v>1</v>
      </c>
      <c r="K968" t="str">
        <f t="shared" si="31"/>
        <v>Row 211 - For a ‘Transport unit’ both ‘Location on board’ and ‘Amount’ are required</v>
      </c>
      <c r="L968" t="s">
        <v>1391</v>
      </c>
    </row>
    <row r="969" spans="7:12" x14ac:dyDescent="0.25">
      <c r="G969" t="b">
        <f>IF(OR(INDEX(IHZ_HAZ_UNITTYPE,212,1)&lt;&gt;"",),IF(OR(INDEX(IHZ_HAZ_LOCATION,212,1)="",INDEX(IHZ_HAZ_AMOUNT,212,1)="",),FALSE,TRUE),TRUE)</f>
        <v>1</v>
      </c>
      <c r="H969" t="str">
        <f t="shared" si="30"/>
        <v>Row 212 - For a ‘Transport unit’ both ‘Location on board’ and ‘Amount’ are required</v>
      </c>
      <c r="I969" t="s">
        <v>1391</v>
      </c>
      <c r="J969" t="b">
        <f>IF(OR(INDEX(OHZ_HAZ_UNITTYPE,212,1)&lt;&gt;"",),IF(OR(INDEX(OHZ_HAZ_LOCATION,212,1)="",INDEX(OHZ_HAZ_AMOUNT,212,1)="",),FALSE,TRUE),TRUE)</f>
        <v>1</v>
      </c>
      <c r="K969" t="str">
        <f t="shared" si="31"/>
        <v>Row 212 - For a ‘Transport unit’ both ‘Location on board’ and ‘Amount’ are required</v>
      </c>
      <c r="L969" t="s">
        <v>1391</v>
      </c>
    </row>
    <row r="970" spans="7:12" x14ac:dyDescent="0.25">
      <c r="G970" t="b">
        <f>IF(OR(INDEX(IHZ_HAZ_UNITTYPE,213,1)&lt;&gt;"",),IF(OR(INDEX(IHZ_HAZ_LOCATION,213,1)="",INDEX(IHZ_HAZ_AMOUNT,213,1)="",),FALSE,TRUE),TRUE)</f>
        <v>1</v>
      </c>
      <c r="H970" t="str">
        <f t="shared" si="30"/>
        <v>Row 213 - For a ‘Transport unit’ both ‘Location on board’ and ‘Amount’ are required</v>
      </c>
      <c r="I970" t="s">
        <v>1391</v>
      </c>
      <c r="J970" t="b">
        <f>IF(OR(INDEX(OHZ_HAZ_UNITTYPE,213,1)&lt;&gt;"",),IF(OR(INDEX(OHZ_HAZ_LOCATION,213,1)="",INDEX(OHZ_HAZ_AMOUNT,213,1)="",),FALSE,TRUE),TRUE)</f>
        <v>1</v>
      </c>
      <c r="K970" t="str">
        <f t="shared" si="31"/>
        <v>Row 213 - For a ‘Transport unit’ both ‘Location on board’ and ‘Amount’ are required</v>
      </c>
      <c r="L970" t="s">
        <v>1391</v>
      </c>
    </row>
    <row r="971" spans="7:12" x14ac:dyDescent="0.25">
      <c r="G971" t="b">
        <f>IF(OR(INDEX(IHZ_HAZ_UNITTYPE,214,1)&lt;&gt;"",),IF(OR(INDEX(IHZ_HAZ_LOCATION,214,1)="",INDEX(IHZ_HAZ_AMOUNT,214,1)="",),FALSE,TRUE),TRUE)</f>
        <v>1</v>
      </c>
      <c r="H971" t="str">
        <f t="shared" si="30"/>
        <v>Row 214 - For a ‘Transport unit’ both ‘Location on board’ and ‘Amount’ are required</v>
      </c>
      <c r="I971" t="s">
        <v>1391</v>
      </c>
      <c r="J971" t="b">
        <f>IF(OR(INDEX(OHZ_HAZ_UNITTYPE,214,1)&lt;&gt;"",),IF(OR(INDEX(OHZ_HAZ_LOCATION,214,1)="",INDEX(OHZ_HAZ_AMOUNT,214,1)="",),FALSE,TRUE),TRUE)</f>
        <v>1</v>
      </c>
      <c r="K971" t="str">
        <f t="shared" si="31"/>
        <v>Row 214 - For a ‘Transport unit’ both ‘Location on board’ and ‘Amount’ are required</v>
      </c>
      <c r="L971" t="s">
        <v>1391</v>
      </c>
    </row>
    <row r="972" spans="7:12" x14ac:dyDescent="0.25">
      <c r="G972" t="b">
        <f>IF(OR(INDEX(IHZ_HAZ_UNITTYPE,215,1)&lt;&gt;"",),IF(OR(INDEX(IHZ_HAZ_LOCATION,215,1)="",INDEX(IHZ_HAZ_AMOUNT,215,1)="",),FALSE,TRUE),TRUE)</f>
        <v>1</v>
      </c>
      <c r="H972" t="str">
        <f t="shared" si="30"/>
        <v>Row 215 - For a ‘Transport unit’ both ‘Location on board’ and ‘Amount’ are required</v>
      </c>
      <c r="I972" t="s">
        <v>1391</v>
      </c>
      <c r="J972" t="b">
        <f>IF(OR(INDEX(OHZ_HAZ_UNITTYPE,215,1)&lt;&gt;"",),IF(OR(INDEX(OHZ_HAZ_LOCATION,215,1)="",INDEX(OHZ_HAZ_AMOUNT,215,1)="",),FALSE,TRUE),TRUE)</f>
        <v>1</v>
      </c>
      <c r="K972" t="str">
        <f t="shared" si="31"/>
        <v>Row 215 - For a ‘Transport unit’ both ‘Location on board’ and ‘Amount’ are required</v>
      </c>
      <c r="L972" t="s">
        <v>1391</v>
      </c>
    </row>
    <row r="973" spans="7:12" x14ac:dyDescent="0.25">
      <c r="G973" t="b">
        <f>IF(OR(INDEX(IHZ_HAZ_UNITTYPE,216,1)&lt;&gt;"",),IF(OR(INDEX(IHZ_HAZ_LOCATION,216,1)="",INDEX(IHZ_HAZ_AMOUNT,216,1)="",),FALSE,TRUE),TRUE)</f>
        <v>1</v>
      </c>
      <c r="H973" t="str">
        <f t="shared" si="30"/>
        <v>Row 216 - For a ‘Transport unit’ both ‘Location on board’ and ‘Amount’ are required</v>
      </c>
      <c r="I973" t="s">
        <v>1391</v>
      </c>
      <c r="J973" t="b">
        <f>IF(OR(INDEX(OHZ_HAZ_UNITTYPE,216,1)&lt;&gt;"",),IF(OR(INDEX(OHZ_HAZ_LOCATION,216,1)="",INDEX(OHZ_HAZ_AMOUNT,216,1)="",),FALSE,TRUE),TRUE)</f>
        <v>1</v>
      </c>
      <c r="K973" t="str">
        <f t="shared" si="31"/>
        <v>Row 216 - For a ‘Transport unit’ both ‘Location on board’ and ‘Amount’ are required</v>
      </c>
      <c r="L973" t="s">
        <v>1391</v>
      </c>
    </row>
    <row r="974" spans="7:12" x14ac:dyDescent="0.25">
      <c r="G974" t="b">
        <f>IF(OR(INDEX(IHZ_HAZ_UNITTYPE,217,1)&lt;&gt;"",),IF(OR(INDEX(IHZ_HAZ_LOCATION,217,1)="",INDEX(IHZ_HAZ_AMOUNT,217,1)="",),FALSE,TRUE),TRUE)</f>
        <v>1</v>
      </c>
      <c r="H974" t="str">
        <f t="shared" si="30"/>
        <v>Row 217 - For a ‘Transport unit’ both ‘Location on board’ and ‘Amount’ are required</v>
      </c>
      <c r="I974" t="s">
        <v>1391</v>
      </c>
      <c r="J974" t="b">
        <f>IF(OR(INDEX(OHZ_HAZ_UNITTYPE,217,1)&lt;&gt;"",),IF(OR(INDEX(OHZ_HAZ_LOCATION,217,1)="",INDEX(OHZ_HAZ_AMOUNT,217,1)="",),FALSE,TRUE),TRUE)</f>
        <v>1</v>
      </c>
      <c r="K974" t="str">
        <f t="shared" si="31"/>
        <v>Row 217 - For a ‘Transport unit’ both ‘Location on board’ and ‘Amount’ are required</v>
      </c>
      <c r="L974" t="s">
        <v>1391</v>
      </c>
    </row>
    <row r="975" spans="7:12" x14ac:dyDescent="0.25">
      <c r="G975" t="b">
        <f>IF(OR(INDEX(IHZ_HAZ_UNITTYPE,218,1)&lt;&gt;"",),IF(OR(INDEX(IHZ_HAZ_LOCATION,218,1)="",INDEX(IHZ_HAZ_AMOUNT,218,1)="",),FALSE,TRUE),TRUE)</f>
        <v>1</v>
      </c>
      <c r="H975" t="str">
        <f t="shared" si="30"/>
        <v>Row 218 - For a ‘Transport unit’ both ‘Location on board’ and ‘Amount’ are required</v>
      </c>
      <c r="I975" t="s">
        <v>1391</v>
      </c>
      <c r="J975" t="b">
        <f>IF(OR(INDEX(OHZ_HAZ_UNITTYPE,218,1)&lt;&gt;"",),IF(OR(INDEX(OHZ_HAZ_LOCATION,218,1)="",INDEX(OHZ_HAZ_AMOUNT,218,1)="",),FALSE,TRUE),TRUE)</f>
        <v>1</v>
      </c>
      <c r="K975" t="str">
        <f t="shared" si="31"/>
        <v>Row 218 - For a ‘Transport unit’ both ‘Location on board’ and ‘Amount’ are required</v>
      </c>
      <c r="L975" t="s">
        <v>1391</v>
      </c>
    </row>
    <row r="976" spans="7:12" x14ac:dyDescent="0.25">
      <c r="G976" t="b">
        <f>IF(OR(INDEX(IHZ_HAZ_UNITTYPE,219,1)&lt;&gt;"",),IF(OR(INDEX(IHZ_HAZ_LOCATION,219,1)="",INDEX(IHZ_HAZ_AMOUNT,219,1)="",),FALSE,TRUE),TRUE)</f>
        <v>1</v>
      </c>
      <c r="H976" t="str">
        <f t="shared" si="30"/>
        <v>Row 219 - For a ‘Transport unit’ both ‘Location on board’ and ‘Amount’ are required</v>
      </c>
      <c r="I976" t="s">
        <v>1391</v>
      </c>
      <c r="J976" t="b">
        <f>IF(OR(INDEX(OHZ_HAZ_UNITTYPE,219,1)&lt;&gt;"",),IF(OR(INDEX(OHZ_HAZ_LOCATION,219,1)="",INDEX(OHZ_HAZ_AMOUNT,219,1)="",),FALSE,TRUE),TRUE)</f>
        <v>1</v>
      </c>
      <c r="K976" t="str">
        <f t="shared" si="31"/>
        <v>Row 219 - For a ‘Transport unit’ both ‘Location on board’ and ‘Amount’ are required</v>
      </c>
      <c r="L976" t="s">
        <v>1391</v>
      </c>
    </row>
    <row r="977" spans="7:12" x14ac:dyDescent="0.25">
      <c r="G977" t="b">
        <f>IF(OR(INDEX(IHZ_HAZ_UNITTYPE,220,1)&lt;&gt;"",),IF(OR(INDEX(IHZ_HAZ_LOCATION,220,1)="",INDEX(IHZ_HAZ_AMOUNT,220,1)="",),FALSE,TRUE),TRUE)</f>
        <v>1</v>
      </c>
      <c r="H977" t="str">
        <f t="shared" si="30"/>
        <v>Row 220 - For a ‘Transport unit’ both ‘Location on board’ and ‘Amount’ are required</v>
      </c>
      <c r="I977" t="s">
        <v>1391</v>
      </c>
      <c r="J977" t="b">
        <f>IF(OR(INDEX(OHZ_HAZ_UNITTYPE,220,1)&lt;&gt;"",),IF(OR(INDEX(OHZ_HAZ_LOCATION,220,1)="",INDEX(OHZ_HAZ_AMOUNT,220,1)="",),FALSE,TRUE),TRUE)</f>
        <v>1</v>
      </c>
      <c r="K977" t="str">
        <f t="shared" si="31"/>
        <v>Row 220 - For a ‘Transport unit’ both ‘Location on board’ and ‘Amount’ are required</v>
      </c>
      <c r="L977" t="s">
        <v>1391</v>
      </c>
    </row>
    <row r="978" spans="7:12" x14ac:dyDescent="0.25">
      <c r="G978" t="b">
        <f>IF(OR(INDEX(IHZ_HAZ_UNITTYPE,221,1)&lt;&gt;"",),IF(OR(INDEX(IHZ_HAZ_LOCATION,221,1)="",INDEX(IHZ_HAZ_AMOUNT,221,1)="",),FALSE,TRUE),TRUE)</f>
        <v>1</v>
      </c>
      <c r="H978" t="str">
        <f t="shared" si="30"/>
        <v>Row 221 - For a ‘Transport unit’ both ‘Location on board’ and ‘Amount’ are required</v>
      </c>
      <c r="I978" t="s">
        <v>1391</v>
      </c>
      <c r="J978" t="b">
        <f>IF(OR(INDEX(OHZ_HAZ_UNITTYPE,221,1)&lt;&gt;"",),IF(OR(INDEX(OHZ_HAZ_LOCATION,221,1)="",INDEX(OHZ_HAZ_AMOUNT,221,1)="",),FALSE,TRUE),TRUE)</f>
        <v>1</v>
      </c>
      <c r="K978" t="str">
        <f t="shared" si="31"/>
        <v>Row 221 - For a ‘Transport unit’ both ‘Location on board’ and ‘Amount’ are required</v>
      </c>
      <c r="L978" t="s">
        <v>1391</v>
      </c>
    </row>
    <row r="979" spans="7:12" x14ac:dyDescent="0.25">
      <c r="G979" t="b">
        <f>IF(OR(INDEX(IHZ_HAZ_UNITTYPE,222,1)&lt;&gt;"",),IF(OR(INDEX(IHZ_HAZ_LOCATION,222,1)="",INDEX(IHZ_HAZ_AMOUNT,222,1)="",),FALSE,TRUE),TRUE)</f>
        <v>1</v>
      </c>
      <c r="H979" t="str">
        <f t="shared" si="30"/>
        <v>Row 222 - For a ‘Transport unit’ both ‘Location on board’ and ‘Amount’ are required</v>
      </c>
      <c r="I979" t="s">
        <v>1391</v>
      </c>
      <c r="J979" t="b">
        <f>IF(OR(INDEX(OHZ_HAZ_UNITTYPE,222,1)&lt;&gt;"",),IF(OR(INDEX(OHZ_HAZ_LOCATION,222,1)="",INDEX(OHZ_HAZ_AMOUNT,222,1)="",),FALSE,TRUE),TRUE)</f>
        <v>1</v>
      </c>
      <c r="K979" t="str">
        <f t="shared" si="31"/>
        <v>Row 222 - For a ‘Transport unit’ both ‘Location on board’ and ‘Amount’ are required</v>
      </c>
      <c r="L979" t="s">
        <v>1391</v>
      </c>
    </row>
    <row r="980" spans="7:12" x14ac:dyDescent="0.25">
      <c r="G980" t="b">
        <f>IF(OR(INDEX(IHZ_HAZ_UNITTYPE,223,1)&lt;&gt;"",),IF(OR(INDEX(IHZ_HAZ_LOCATION,223,1)="",INDEX(IHZ_HAZ_AMOUNT,223,1)="",),FALSE,TRUE),TRUE)</f>
        <v>1</v>
      </c>
      <c r="H980" t="str">
        <f t="shared" si="30"/>
        <v>Row 223 - For a ‘Transport unit’ both ‘Location on board’ and ‘Amount’ are required</v>
      </c>
      <c r="I980" t="s">
        <v>1391</v>
      </c>
      <c r="J980" t="b">
        <f>IF(OR(INDEX(OHZ_HAZ_UNITTYPE,223,1)&lt;&gt;"",),IF(OR(INDEX(OHZ_HAZ_LOCATION,223,1)="",INDEX(OHZ_HAZ_AMOUNT,223,1)="",),FALSE,TRUE),TRUE)</f>
        <v>1</v>
      </c>
      <c r="K980" t="str">
        <f t="shared" si="31"/>
        <v>Row 223 - For a ‘Transport unit’ both ‘Location on board’ and ‘Amount’ are required</v>
      </c>
      <c r="L980" t="s">
        <v>1391</v>
      </c>
    </row>
    <row r="981" spans="7:12" x14ac:dyDescent="0.25">
      <c r="G981" t="b">
        <f>IF(OR(INDEX(IHZ_HAZ_UNITTYPE,224,1)&lt;&gt;"",),IF(OR(INDEX(IHZ_HAZ_LOCATION,224,1)="",INDEX(IHZ_HAZ_AMOUNT,224,1)="",),FALSE,TRUE),TRUE)</f>
        <v>1</v>
      </c>
      <c r="H981" t="str">
        <f t="shared" si="30"/>
        <v>Row 224 - For a ‘Transport unit’ both ‘Location on board’ and ‘Amount’ are required</v>
      </c>
      <c r="I981" t="s">
        <v>1391</v>
      </c>
      <c r="J981" t="b">
        <f>IF(OR(INDEX(OHZ_HAZ_UNITTYPE,224,1)&lt;&gt;"",),IF(OR(INDEX(OHZ_HAZ_LOCATION,224,1)="",INDEX(OHZ_HAZ_AMOUNT,224,1)="",),FALSE,TRUE),TRUE)</f>
        <v>1</v>
      </c>
      <c r="K981" t="str">
        <f t="shared" si="31"/>
        <v>Row 224 - For a ‘Transport unit’ both ‘Location on board’ and ‘Amount’ are required</v>
      </c>
      <c r="L981" t="s">
        <v>1391</v>
      </c>
    </row>
    <row r="982" spans="7:12" x14ac:dyDescent="0.25">
      <c r="G982" t="b">
        <f>IF(OR(INDEX(IHZ_HAZ_UNITTYPE,225,1)&lt;&gt;"",),IF(OR(INDEX(IHZ_HAZ_LOCATION,225,1)="",INDEX(IHZ_HAZ_AMOUNT,225,1)="",),FALSE,TRUE),TRUE)</f>
        <v>1</v>
      </c>
      <c r="H982" t="str">
        <f t="shared" si="30"/>
        <v>Row 225 - For a ‘Transport unit’ both ‘Location on board’ and ‘Amount’ are required</v>
      </c>
      <c r="I982" t="s">
        <v>1391</v>
      </c>
      <c r="J982" t="b">
        <f>IF(OR(INDEX(OHZ_HAZ_UNITTYPE,225,1)&lt;&gt;"",),IF(OR(INDEX(OHZ_HAZ_LOCATION,225,1)="",INDEX(OHZ_HAZ_AMOUNT,225,1)="",),FALSE,TRUE),TRUE)</f>
        <v>1</v>
      </c>
      <c r="K982" t="str">
        <f t="shared" si="31"/>
        <v>Row 225 - For a ‘Transport unit’ both ‘Location on board’ and ‘Amount’ are required</v>
      </c>
      <c r="L982" t="s">
        <v>1391</v>
      </c>
    </row>
    <row r="983" spans="7:12" x14ac:dyDescent="0.25">
      <c r="G983" t="b">
        <f>IF(OR(INDEX(IHZ_HAZ_UNITTYPE,226,1)&lt;&gt;"",),IF(OR(INDEX(IHZ_HAZ_LOCATION,226,1)="",INDEX(IHZ_HAZ_AMOUNT,226,1)="",),FALSE,TRUE),TRUE)</f>
        <v>1</v>
      </c>
      <c r="H983" t="str">
        <f t="shared" si="30"/>
        <v>Row 226 - For a ‘Transport unit’ both ‘Location on board’ and ‘Amount’ are required</v>
      </c>
      <c r="I983" t="s">
        <v>1391</v>
      </c>
      <c r="J983" t="b">
        <f>IF(OR(INDEX(OHZ_HAZ_UNITTYPE,226,1)&lt;&gt;"",),IF(OR(INDEX(OHZ_HAZ_LOCATION,226,1)="",INDEX(OHZ_HAZ_AMOUNT,226,1)="",),FALSE,TRUE),TRUE)</f>
        <v>1</v>
      </c>
      <c r="K983" t="str">
        <f t="shared" si="31"/>
        <v>Row 226 - For a ‘Transport unit’ both ‘Location on board’ and ‘Amount’ are required</v>
      </c>
      <c r="L983" t="s">
        <v>1391</v>
      </c>
    </row>
    <row r="984" spans="7:12" x14ac:dyDescent="0.25">
      <c r="G984" t="b">
        <f>IF(OR(INDEX(IHZ_HAZ_UNITTYPE,227,1)&lt;&gt;"",),IF(OR(INDEX(IHZ_HAZ_LOCATION,227,1)="",INDEX(IHZ_HAZ_AMOUNT,227,1)="",),FALSE,TRUE),TRUE)</f>
        <v>1</v>
      </c>
      <c r="H984" t="str">
        <f t="shared" si="30"/>
        <v>Row 227 - For a ‘Transport unit’ both ‘Location on board’ and ‘Amount’ are required</v>
      </c>
      <c r="I984" t="s">
        <v>1391</v>
      </c>
      <c r="J984" t="b">
        <f>IF(OR(INDEX(OHZ_HAZ_UNITTYPE,227,1)&lt;&gt;"",),IF(OR(INDEX(OHZ_HAZ_LOCATION,227,1)="",INDEX(OHZ_HAZ_AMOUNT,227,1)="",),FALSE,TRUE),TRUE)</f>
        <v>1</v>
      </c>
      <c r="K984" t="str">
        <f t="shared" si="31"/>
        <v>Row 227 - For a ‘Transport unit’ both ‘Location on board’ and ‘Amount’ are required</v>
      </c>
      <c r="L984" t="s">
        <v>1391</v>
      </c>
    </row>
    <row r="985" spans="7:12" x14ac:dyDescent="0.25">
      <c r="G985" t="b">
        <f>IF(OR(INDEX(IHZ_HAZ_UNITTYPE,228,1)&lt;&gt;"",),IF(OR(INDEX(IHZ_HAZ_LOCATION,228,1)="",INDEX(IHZ_HAZ_AMOUNT,228,1)="",),FALSE,TRUE),TRUE)</f>
        <v>1</v>
      </c>
      <c r="H985" t="str">
        <f t="shared" si="30"/>
        <v>Row 228 - For a ‘Transport unit’ both ‘Location on board’ and ‘Amount’ are required</v>
      </c>
      <c r="I985" t="s">
        <v>1391</v>
      </c>
      <c r="J985" t="b">
        <f>IF(OR(INDEX(OHZ_HAZ_UNITTYPE,228,1)&lt;&gt;"",),IF(OR(INDEX(OHZ_HAZ_LOCATION,228,1)="",INDEX(OHZ_HAZ_AMOUNT,228,1)="",),FALSE,TRUE),TRUE)</f>
        <v>1</v>
      </c>
      <c r="K985" t="str">
        <f t="shared" si="31"/>
        <v>Row 228 - For a ‘Transport unit’ both ‘Location on board’ and ‘Amount’ are required</v>
      </c>
      <c r="L985" t="s">
        <v>1391</v>
      </c>
    </row>
    <row r="986" spans="7:12" x14ac:dyDescent="0.25">
      <c r="G986" t="b">
        <f>IF(OR(INDEX(IHZ_HAZ_UNITTYPE,229,1)&lt;&gt;"",),IF(OR(INDEX(IHZ_HAZ_LOCATION,229,1)="",INDEX(IHZ_HAZ_AMOUNT,229,1)="",),FALSE,TRUE),TRUE)</f>
        <v>1</v>
      </c>
      <c r="H986" t="str">
        <f t="shared" si="30"/>
        <v>Row 229 - For a ‘Transport unit’ both ‘Location on board’ and ‘Amount’ are required</v>
      </c>
      <c r="I986" t="s">
        <v>1391</v>
      </c>
      <c r="J986" t="b">
        <f>IF(OR(INDEX(OHZ_HAZ_UNITTYPE,229,1)&lt;&gt;"",),IF(OR(INDEX(OHZ_HAZ_LOCATION,229,1)="",INDEX(OHZ_HAZ_AMOUNT,229,1)="",),FALSE,TRUE),TRUE)</f>
        <v>1</v>
      </c>
      <c r="K986" t="str">
        <f t="shared" si="31"/>
        <v>Row 229 - For a ‘Transport unit’ both ‘Location on board’ and ‘Amount’ are required</v>
      </c>
      <c r="L986" t="s">
        <v>1391</v>
      </c>
    </row>
    <row r="987" spans="7:12" x14ac:dyDescent="0.25">
      <c r="G987" t="b">
        <f>IF(OR(INDEX(IHZ_HAZ_UNITTYPE,230,1)&lt;&gt;"",),IF(OR(INDEX(IHZ_HAZ_LOCATION,230,1)="",INDEX(IHZ_HAZ_AMOUNT,230,1)="",),FALSE,TRUE),TRUE)</f>
        <v>1</v>
      </c>
      <c r="H987" t="str">
        <f t="shared" si="30"/>
        <v>Row 230 - For a ‘Transport unit’ both ‘Location on board’ and ‘Amount’ are required</v>
      </c>
      <c r="I987" t="s">
        <v>1391</v>
      </c>
      <c r="J987" t="b">
        <f>IF(OR(INDEX(OHZ_HAZ_UNITTYPE,230,1)&lt;&gt;"",),IF(OR(INDEX(OHZ_HAZ_LOCATION,230,1)="",INDEX(OHZ_HAZ_AMOUNT,230,1)="",),FALSE,TRUE),TRUE)</f>
        <v>1</v>
      </c>
      <c r="K987" t="str">
        <f t="shared" si="31"/>
        <v>Row 230 - For a ‘Transport unit’ both ‘Location on board’ and ‘Amount’ are required</v>
      </c>
      <c r="L987" t="s">
        <v>1391</v>
      </c>
    </row>
    <row r="988" spans="7:12" x14ac:dyDescent="0.25">
      <c r="G988" t="b">
        <f>IF(OR(INDEX(IHZ_HAZ_UNITTYPE,231,1)&lt;&gt;"",),IF(OR(INDEX(IHZ_HAZ_LOCATION,231,1)="",INDEX(IHZ_HAZ_AMOUNT,231,1)="",),FALSE,TRUE),TRUE)</f>
        <v>1</v>
      </c>
      <c r="H988" t="str">
        <f t="shared" si="30"/>
        <v>Row 231 - For a ‘Transport unit’ both ‘Location on board’ and ‘Amount’ are required</v>
      </c>
      <c r="I988" t="s">
        <v>1391</v>
      </c>
      <c r="J988" t="b">
        <f>IF(OR(INDEX(OHZ_HAZ_UNITTYPE,231,1)&lt;&gt;"",),IF(OR(INDEX(OHZ_HAZ_LOCATION,231,1)="",INDEX(OHZ_HAZ_AMOUNT,231,1)="",),FALSE,TRUE),TRUE)</f>
        <v>1</v>
      </c>
      <c r="K988" t="str">
        <f t="shared" si="31"/>
        <v>Row 231 - For a ‘Transport unit’ both ‘Location on board’ and ‘Amount’ are required</v>
      </c>
      <c r="L988" t="s">
        <v>1391</v>
      </c>
    </row>
    <row r="989" spans="7:12" x14ac:dyDescent="0.25">
      <c r="G989" t="b">
        <f>IF(OR(INDEX(IHZ_HAZ_UNITTYPE,232,1)&lt;&gt;"",),IF(OR(INDEX(IHZ_HAZ_LOCATION,232,1)="",INDEX(IHZ_HAZ_AMOUNT,232,1)="",),FALSE,TRUE),TRUE)</f>
        <v>1</v>
      </c>
      <c r="H989" t="str">
        <f t="shared" si="30"/>
        <v>Row 232 - For a ‘Transport unit’ both ‘Location on board’ and ‘Amount’ are required</v>
      </c>
      <c r="I989" t="s">
        <v>1391</v>
      </c>
      <c r="J989" t="b">
        <f>IF(OR(INDEX(OHZ_HAZ_UNITTYPE,232,1)&lt;&gt;"",),IF(OR(INDEX(OHZ_HAZ_LOCATION,232,1)="",INDEX(OHZ_HAZ_AMOUNT,232,1)="",),FALSE,TRUE),TRUE)</f>
        <v>1</v>
      </c>
      <c r="K989" t="str">
        <f t="shared" si="31"/>
        <v>Row 232 - For a ‘Transport unit’ both ‘Location on board’ and ‘Amount’ are required</v>
      </c>
      <c r="L989" t="s">
        <v>1391</v>
      </c>
    </row>
    <row r="990" spans="7:12" x14ac:dyDescent="0.25">
      <c r="G990" t="b">
        <f>IF(OR(INDEX(IHZ_HAZ_UNITTYPE,233,1)&lt;&gt;"",),IF(OR(INDEX(IHZ_HAZ_LOCATION,233,1)="",INDEX(IHZ_HAZ_AMOUNT,233,1)="",),FALSE,TRUE),TRUE)</f>
        <v>1</v>
      </c>
      <c r="H990" t="str">
        <f t="shared" si="30"/>
        <v>Row 233 - For a ‘Transport unit’ both ‘Location on board’ and ‘Amount’ are required</v>
      </c>
      <c r="I990" t="s">
        <v>1391</v>
      </c>
      <c r="J990" t="b">
        <f>IF(OR(INDEX(OHZ_HAZ_UNITTYPE,233,1)&lt;&gt;"",),IF(OR(INDEX(OHZ_HAZ_LOCATION,233,1)="",INDEX(OHZ_HAZ_AMOUNT,233,1)="",),FALSE,TRUE),TRUE)</f>
        <v>1</v>
      </c>
      <c r="K990" t="str">
        <f t="shared" si="31"/>
        <v>Row 233 - For a ‘Transport unit’ both ‘Location on board’ and ‘Amount’ are required</v>
      </c>
      <c r="L990" t="s">
        <v>1391</v>
      </c>
    </row>
    <row r="991" spans="7:12" x14ac:dyDescent="0.25">
      <c r="G991" t="b">
        <f>IF(OR(INDEX(IHZ_HAZ_UNITTYPE,234,1)&lt;&gt;"",),IF(OR(INDEX(IHZ_HAZ_LOCATION,234,1)="",INDEX(IHZ_HAZ_AMOUNT,234,1)="",),FALSE,TRUE),TRUE)</f>
        <v>1</v>
      </c>
      <c r="H991" t="str">
        <f t="shared" si="30"/>
        <v>Row 234 - For a ‘Transport unit’ both ‘Location on board’ and ‘Amount’ are required</v>
      </c>
      <c r="I991" t="s">
        <v>1391</v>
      </c>
      <c r="J991" t="b">
        <f>IF(OR(INDEX(OHZ_HAZ_UNITTYPE,234,1)&lt;&gt;"",),IF(OR(INDEX(OHZ_HAZ_LOCATION,234,1)="",INDEX(OHZ_HAZ_AMOUNT,234,1)="",),FALSE,TRUE),TRUE)</f>
        <v>1</v>
      </c>
      <c r="K991" t="str">
        <f t="shared" si="31"/>
        <v>Row 234 - For a ‘Transport unit’ both ‘Location on board’ and ‘Amount’ are required</v>
      </c>
      <c r="L991" t="s">
        <v>1391</v>
      </c>
    </row>
    <row r="992" spans="7:12" x14ac:dyDescent="0.25">
      <c r="G992" t="b">
        <f>IF(OR(INDEX(IHZ_HAZ_UNITTYPE,235,1)&lt;&gt;"",),IF(OR(INDEX(IHZ_HAZ_LOCATION,235,1)="",INDEX(IHZ_HAZ_AMOUNT,235,1)="",),FALSE,TRUE),TRUE)</f>
        <v>1</v>
      </c>
      <c r="H992" t="str">
        <f t="shared" si="30"/>
        <v>Row 235 - For a ‘Transport unit’ both ‘Location on board’ and ‘Amount’ are required</v>
      </c>
      <c r="I992" t="s">
        <v>1391</v>
      </c>
      <c r="J992" t="b">
        <f>IF(OR(INDEX(OHZ_HAZ_UNITTYPE,235,1)&lt;&gt;"",),IF(OR(INDEX(OHZ_HAZ_LOCATION,235,1)="",INDEX(OHZ_HAZ_AMOUNT,235,1)="",),FALSE,TRUE),TRUE)</f>
        <v>1</v>
      </c>
      <c r="K992" t="str">
        <f t="shared" si="31"/>
        <v>Row 235 - For a ‘Transport unit’ both ‘Location on board’ and ‘Amount’ are required</v>
      </c>
      <c r="L992" t="s">
        <v>1391</v>
      </c>
    </row>
    <row r="993" spans="7:12" x14ac:dyDescent="0.25">
      <c r="G993" t="b">
        <f>IF(OR(INDEX(IHZ_HAZ_UNITTYPE,236,1)&lt;&gt;"",),IF(OR(INDEX(IHZ_HAZ_LOCATION,236,1)="",INDEX(IHZ_HAZ_AMOUNT,236,1)="",),FALSE,TRUE),TRUE)</f>
        <v>1</v>
      </c>
      <c r="H993" t="str">
        <f t="shared" si="30"/>
        <v>Row 236 - For a ‘Transport unit’ both ‘Location on board’ and ‘Amount’ are required</v>
      </c>
      <c r="I993" t="s">
        <v>1391</v>
      </c>
      <c r="J993" t="b">
        <f>IF(OR(INDEX(OHZ_HAZ_UNITTYPE,236,1)&lt;&gt;"",),IF(OR(INDEX(OHZ_HAZ_LOCATION,236,1)="",INDEX(OHZ_HAZ_AMOUNT,236,1)="",),FALSE,TRUE),TRUE)</f>
        <v>1</v>
      </c>
      <c r="K993" t="str">
        <f t="shared" si="31"/>
        <v>Row 236 - For a ‘Transport unit’ both ‘Location on board’ and ‘Amount’ are required</v>
      </c>
      <c r="L993" t="s">
        <v>1391</v>
      </c>
    </row>
    <row r="994" spans="7:12" x14ac:dyDescent="0.25">
      <c r="G994" t="b">
        <f>IF(OR(INDEX(IHZ_HAZ_UNITTYPE,237,1)&lt;&gt;"",),IF(OR(INDEX(IHZ_HAZ_LOCATION,237,1)="",INDEX(IHZ_HAZ_AMOUNT,237,1)="",),FALSE,TRUE),TRUE)</f>
        <v>1</v>
      </c>
      <c r="H994" t="str">
        <f t="shared" si="30"/>
        <v>Row 237 - For a ‘Transport unit’ both ‘Location on board’ and ‘Amount’ are required</v>
      </c>
      <c r="I994" t="s">
        <v>1391</v>
      </c>
      <c r="J994" t="b">
        <f>IF(OR(INDEX(OHZ_HAZ_UNITTYPE,237,1)&lt;&gt;"",),IF(OR(INDEX(OHZ_HAZ_LOCATION,237,1)="",INDEX(OHZ_HAZ_AMOUNT,237,1)="",),FALSE,TRUE),TRUE)</f>
        <v>1</v>
      </c>
      <c r="K994" t="str">
        <f t="shared" si="31"/>
        <v>Row 237 - For a ‘Transport unit’ both ‘Location on board’ and ‘Amount’ are required</v>
      </c>
      <c r="L994" t="s">
        <v>1391</v>
      </c>
    </row>
    <row r="995" spans="7:12" x14ac:dyDescent="0.25">
      <c r="G995" t="b">
        <f>IF(OR(INDEX(IHZ_HAZ_UNITTYPE,238,1)&lt;&gt;"",),IF(OR(INDEX(IHZ_HAZ_LOCATION,238,1)="",INDEX(IHZ_HAZ_AMOUNT,238,1)="",),FALSE,TRUE),TRUE)</f>
        <v>1</v>
      </c>
      <c r="H995" t="str">
        <f t="shared" si="30"/>
        <v>Row 238 - For a ‘Transport unit’ both ‘Location on board’ and ‘Amount’ are required</v>
      </c>
      <c r="I995" t="s">
        <v>1391</v>
      </c>
      <c r="J995" t="b">
        <f>IF(OR(INDEX(OHZ_HAZ_UNITTYPE,238,1)&lt;&gt;"",),IF(OR(INDEX(OHZ_HAZ_LOCATION,238,1)="",INDEX(OHZ_HAZ_AMOUNT,238,1)="",),FALSE,TRUE),TRUE)</f>
        <v>1</v>
      </c>
      <c r="K995" t="str">
        <f t="shared" si="31"/>
        <v>Row 238 - For a ‘Transport unit’ both ‘Location on board’ and ‘Amount’ are required</v>
      </c>
      <c r="L995" t="s">
        <v>1391</v>
      </c>
    </row>
    <row r="996" spans="7:12" x14ac:dyDescent="0.25">
      <c r="G996" t="b">
        <f>IF(OR(INDEX(IHZ_HAZ_UNITTYPE,239,1)&lt;&gt;"",),IF(OR(INDEX(IHZ_HAZ_LOCATION,239,1)="",INDEX(IHZ_HAZ_AMOUNT,239,1)="",),FALSE,TRUE),TRUE)</f>
        <v>1</v>
      </c>
      <c r="H996" t="str">
        <f t="shared" si="30"/>
        <v>Row 239 - For a ‘Transport unit’ both ‘Location on board’ and ‘Amount’ are required</v>
      </c>
      <c r="I996" t="s">
        <v>1391</v>
      </c>
      <c r="J996" t="b">
        <f>IF(OR(INDEX(OHZ_HAZ_UNITTYPE,239,1)&lt;&gt;"",),IF(OR(INDEX(OHZ_HAZ_LOCATION,239,1)="",INDEX(OHZ_HAZ_AMOUNT,239,1)="",),FALSE,TRUE),TRUE)</f>
        <v>1</v>
      </c>
      <c r="K996" t="str">
        <f t="shared" si="31"/>
        <v>Row 239 - For a ‘Transport unit’ both ‘Location on board’ and ‘Amount’ are required</v>
      </c>
      <c r="L996" t="s">
        <v>1391</v>
      </c>
    </row>
    <row r="997" spans="7:12" x14ac:dyDescent="0.25">
      <c r="G997" t="b">
        <f>IF(OR(INDEX(IHZ_HAZ_UNITTYPE,240,1)&lt;&gt;"",),IF(OR(INDEX(IHZ_HAZ_LOCATION,240,1)="",INDEX(IHZ_HAZ_AMOUNT,240,1)="",),FALSE,TRUE),TRUE)</f>
        <v>1</v>
      </c>
      <c r="H997" t="str">
        <f t="shared" si="30"/>
        <v>Row 240 - For a ‘Transport unit’ both ‘Location on board’ and ‘Amount’ are required</v>
      </c>
      <c r="I997" t="s">
        <v>1391</v>
      </c>
      <c r="J997" t="b">
        <f>IF(OR(INDEX(OHZ_HAZ_UNITTYPE,240,1)&lt;&gt;"",),IF(OR(INDEX(OHZ_HAZ_LOCATION,240,1)="",INDEX(OHZ_HAZ_AMOUNT,240,1)="",),FALSE,TRUE),TRUE)</f>
        <v>1</v>
      </c>
      <c r="K997" t="str">
        <f t="shared" si="31"/>
        <v>Row 240 - For a ‘Transport unit’ both ‘Location on board’ and ‘Amount’ are required</v>
      </c>
      <c r="L997" t="s">
        <v>1391</v>
      </c>
    </row>
    <row r="998" spans="7:12" x14ac:dyDescent="0.25">
      <c r="G998" t="b">
        <f>IF(OR(INDEX(IHZ_HAZ_UNITTYPE,241,1)&lt;&gt;"",),IF(OR(INDEX(IHZ_HAZ_LOCATION,241,1)="",INDEX(IHZ_HAZ_AMOUNT,241,1)="",),FALSE,TRUE),TRUE)</f>
        <v>1</v>
      </c>
      <c r="H998" t="str">
        <f t="shared" si="30"/>
        <v>Row 241 - For a ‘Transport unit’ both ‘Location on board’ and ‘Amount’ are required</v>
      </c>
      <c r="I998" t="s">
        <v>1391</v>
      </c>
      <c r="J998" t="b">
        <f>IF(OR(INDEX(OHZ_HAZ_UNITTYPE,241,1)&lt;&gt;"",),IF(OR(INDEX(OHZ_HAZ_LOCATION,241,1)="",INDEX(OHZ_HAZ_AMOUNT,241,1)="",),FALSE,TRUE),TRUE)</f>
        <v>1</v>
      </c>
      <c r="K998" t="str">
        <f t="shared" si="31"/>
        <v>Row 241 - For a ‘Transport unit’ both ‘Location on board’ and ‘Amount’ are required</v>
      </c>
      <c r="L998" t="s">
        <v>1391</v>
      </c>
    </row>
    <row r="999" spans="7:12" x14ac:dyDescent="0.25">
      <c r="G999" t="b">
        <f>IF(OR(INDEX(IHZ_HAZ_UNITTYPE,242,1)&lt;&gt;"",),IF(OR(INDEX(IHZ_HAZ_LOCATION,242,1)="",INDEX(IHZ_HAZ_AMOUNT,242,1)="",),FALSE,TRUE),TRUE)</f>
        <v>1</v>
      </c>
      <c r="H999" t="str">
        <f t="shared" si="30"/>
        <v>Row 242 - For a ‘Transport unit’ both ‘Location on board’ and ‘Amount’ are required</v>
      </c>
      <c r="I999" t="s">
        <v>1391</v>
      </c>
      <c r="J999" t="b">
        <f>IF(OR(INDEX(OHZ_HAZ_UNITTYPE,242,1)&lt;&gt;"",),IF(OR(INDEX(OHZ_HAZ_LOCATION,242,1)="",INDEX(OHZ_HAZ_AMOUNT,242,1)="",),FALSE,TRUE),TRUE)</f>
        <v>1</v>
      </c>
      <c r="K999" t="str">
        <f t="shared" si="31"/>
        <v>Row 242 - For a ‘Transport unit’ both ‘Location on board’ and ‘Amount’ are required</v>
      </c>
      <c r="L999" t="s">
        <v>1391</v>
      </c>
    </row>
    <row r="1000" spans="7:12" x14ac:dyDescent="0.25">
      <c r="G1000" t="b">
        <f>IF(OR(INDEX(IHZ_HAZ_UNITTYPE,243,1)&lt;&gt;"",),IF(OR(INDEX(IHZ_HAZ_LOCATION,243,1)="",INDEX(IHZ_HAZ_AMOUNT,243,1)="",),FALSE,TRUE),TRUE)</f>
        <v>1</v>
      </c>
      <c r="H1000" t="str">
        <f t="shared" si="30"/>
        <v>Row 243 - For a ‘Transport unit’ both ‘Location on board’ and ‘Amount’ are required</v>
      </c>
      <c r="I1000" t="s">
        <v>1391</v>
      </c>
      <c r="J1000" t="b">
        <f>IF(OR(INDEX(OHZ_HAZ_UNITTYPE,243,1)&lt;&gt;"",),IF(OR(INDEX(OHZ_HAZ_LOCATION,243,1)="",INDEX(OHZ_HAZ_AMOUNT,243,1)="",),FALSE,TRUE),TRUE)</f>
        <v>1</v>
      </c>
      <c r="K1000" t="str">
        <f t="shared" si="31"/>
        <v>Row 243 - For a ‘Transport unit’ both ‘Location on board’ and ‘Amount’ are required</v>
      </c>
      <c r="L1000" t="s">
        <v>1391</v>
      </c>
    </row>
    <row r="1001" spans="7:12" x14ac:dyDescent="0.25">
      <c r="G1001" t="b">
        <f>IF(OR(INDEX(IHZ_HAZ_UNITTYPE,244,1)&lt;&gt;"",),IF(OR(INDEX(IHZ_HAZ_LOCATION,244,1)="",INDEX(IHZ_HAZ_AMOUNT,244,1)="",),FALSE,TRUE),TRUE)</f>
        <v>1</v>
      </c>
      <c r="H1001" t="str">
        <f t="shared" si="30"/>
        <v>Row 244 - For a ‘Transport unit’ both ‘Location on board’ and ‘Amount’ are required</v>
      </c>
      <c r="I1001" t="s">
        <v>1391</v>
      </c>
      <c r="J1001" t="b">
        <f>IF(OR(INDEX(OHZ_HAZ_UNITTYPE,244,1)&lt;&gt;"",),IF(OR(INDEX(OHZ_HAZ_LOCATION,244,1)="",INDEX(OHZ_HAZ_AMOUNT,244,1)="",),FALSE,TRUE),TRUE)</f>
        <v>1</v>
      </c>
      <c r="K1001" t="str">
        <f t="shared" si="31"/>
        <v>Row 244 - For a ‘Transport unit’ both ‘Location on board’ and ‘Amount’ are required</v>
      </c>
      <c r="L1001" t="s">
        <v>1391</v>
      </c>
    </row>
    <row r="1002" spans="7:12" x14ac:dyDescent="0.25">
      <c r="G1002" t="b">
        <f>IF(OR(INDEX(IHZ_HAZ_UNITTYPE,245,1)&lt;&gt;"",),IF(OR(INDEX(IHZ_HAZ_LOCATION,245,1)="",INDEX(IHZ_HAZ_AMOUNT,245,1)="",),FALSE,TRUE),TRUE)</f>
        <v>1</v>
      </c>
      <c r="H1002" t="str">
        <f t="shared" si="30"/>
        <v>Row 245 - For a ‘Transport unit’ both ‘Location on board’ and ‘Amount’ are required</v>
      </c>
      <c r="I1002" t="s">
        <v>1391</v>
      </c>
      <c r="J1002" t="b">
        <f>IF(OR(INDEX(OHZ_HAZ_UNITTYPE,245,1)&lt;&gt;"",),IF(OR(INDEX(OHZ_HAZ_LOCATION,245,1)="",INDEX(OHZ_HAZ_AMOUNT,245,1)="",),FALSE,TRUE),TRUE)</f>
        <v>1</v>
      </c>
      <c r="K1002" t="str">
        <f t="shared" si="31"/>
        <v>Row 245 - For a ‘Transport unit’ both ‘Location on board’ and ‘Amount’ are required</v>
      </c>
      <c r="L1002" t="s">
        <v>1391</v>
      </c>
    </row>
    <row r="1003" spans="7:12" x14ac:dyDescent="0.25">
      <c r="G1003" t="b">
        <f>IF(OR(INDEX(IHZ_HAZ_UNITTYPE,246,1)&lt;&gt;"",),IF(OR(INDEX(IHZ_HAZ_LOCATION,246,1)="",INDEX(IHZ_HAZ_AMOUNT,246,1)="",),FALSE,TRUE),TRUE)</f>
        <v>1</v>
      </c>
      <c r="H1003" t="str">
        <f t="shared" si="30"/>
        <v>Row 246 - For a ‘Transport unit’ both ‘Location on board’ and ‘Amount’ are required</v>
      </c>
      <c r="I1003" t="s">
        <v>1391</v>
      </c>
      <c r="J1003" t="b">
        <f>IF(OR(INDEX(OHZ_HAZ_UNITTYPE,246,1)&lt;&gt;"",),IF(OR(INDEX(OHZ_HAZ_LOCATION,246,1)="",INDEX(OHZ_HAZ_AMOUNT,246,1)="",),FALSE,TRUE),TRUE)</f>
        <v>1</v>
      </c>
      <c r="K1003" t="str">
        <f t="shared" si="31"/>
        <v>Row 246 - For a ‘Transport unit’ both ‘Location on board’ and ‘Amount’ are required</v>
      </c>
      <c r="L1003" t="s">
        <v>1391</v>
      </c>
    </row>
    <row r="1004" spans="7:12" x14ac:dyDescent="0.25">
      <c r="G1004" t="b">
        <f>IF(OR(INDEX(IHZ_HAZ_UNITTYPE,247,1)&lt;&gt;"",),IF(OR(INDEX(IHZ_HAZ_LOCATION,247,1)="",INDEX(IHZ_HAZ_AMOUNT,247,1)="",),FALSE,TRUE),TRUE)</f>
        <v>1</v>
      </c>
      <c r="H1004" t="str">
        <f t="shared" si="30"/>
        <v>Row 247 - For a ‘Transport unit’ both ‘Location on board’ and ‘Amount’ are required</v>
      </c>
      <c r="I1004" t="s">
        <v>1391</v>
      </c>
      <c r="J1004" t="b">
        <f>IF(OR(INDEX(OHZ_HAZ_UNITTYPE,247,1)&lt;&gt;"",),IF(OR(INDEX(OHZ_HAZ_LOCATION,247,1)="",INDEX(OHZ_HAZ_AMOUNT,247,1)="",),FALSE,TRUE),TRUE)</f>
        <v>1</v>
      </c>
      <c r="K1004" t="str">
        <f t="shared" si="31"/>
        <v>Row 247 - For a ‘Transport unit’ both ‘Location on board’ and ‘Amount’ are required</v>
      </c>
      <c r="L1004" t="s">
        <v>1391</v>
      </c>
    </row>
    <row r="1005" spans="7:12" x14ac:dyDescent="0.25">
      <c r="G1005" t="b">
        <f>IF(OR(INDEX(IHZ_HAZ_UNITTYPE,248,1)&lt;&gt;"",),IF(OR(INDEX(IHZ_HAZ_LOCATION,248,1)="",INDEX(IHZ_HAZ_AMOUNT,248,1)="",),FALSE,TRUE),TRUE)</f>
        <v>1</v>
      </c>
      <c r="H1005" t="str">
        <f t="shared" si="30"/>
        <v>Row 248 - For a ‘Transport unit’ both ‘Location on board’ and ‘Amount’ are required</v>
      </c>
      <c r="I1005" t="s">
        <v>1391</v>
      </c>
      <c r="J1005" t="b">
        <f>IF(OR(INDEX(OHZ_HAZ_UNITTYPE,248,1)&lt;&gt;"",),IF(OR(INDEX(OHZ_HAZ_LOCATION,248,1)="",INDEX(OHZ_HAZ_AMOUNT,248,1)="",),FALSE,TRUE),TRUE)</f>
        <v>1</v>
      </c>
      <c r="K1005" t="str">
        <f t="shared" si="31"/>
        <v>Row 248 - For a ‘Transport unit’ both ‘Location on board’ and ‘Amount’ are required</v>
      </c>
      <c r="L1005" t="s">
        <v>1391</v>
      </c>
    </row>
    <row r="1006" spans="7:12" x14ac:dyDescent="0.25">
      <c r="G1006" t="b">
        <f>IF(OR(INDEX(IHZ_HAZ_UNITTYPE,249,1)&lt;&gt;"",),IF(OR(INDEX(IHZ_HAZ_LOCATION,249,1)="",INDEX(IHZ_HAZ_AMOUNT,249,1)="",),FALSE,TRUE),TRUE)</f>
        <v>1</v>
      </c>
      <c r="H1006" t="str">
        <f t="shared" si="30"/>
        <v>Row 249 - For a ‘Transport unit’ both ‘Location on board’ and ‘Amount’ are required</v>
      </c>
      <c r="I1006" t="s">
        <v>1391</v>
      </c>
      <c r="J1006" t="b">
        <f>IF(OR(INDEX(OHZ_HAZ_UNITTYPE,249,1)&lt;&gt;"",),IF(OR(INDEX(OHZ_HAZ_LOCATION,249,1)="",INDEX(OHZ_HAZ_AMOUNT,249,1)="",),FALSE,TRUE),TRUE)</f>
        <v>1</v>
      </c>
      <c r="K1006" t="str">
        <f t="shared" si="31"/>
        <v>Row 249 - For a ‘Transport unit’ both ‘Location on board’ and ‘Amount’ are required</v>
      </c>
      <c r="L1006" t="s">
        <v>1391</v>
      </c>
    </row>
    <row r="1007" spans="7:12" x14ac:dyDescent="0.25">
      <c r="G1007" t="b">
        <f>IF(OR(INDEX(IHZ_HAZ_UNITTYPE,250,1)&lt;&gt;"",),IF(OR(INDEX(IHZ_HAZ_LOCATION,250,1)="",INDEX(IHZ_HAZ_AMOUNT,250,1)="",),FALSE,TRUE),TRUE)</f>
        <v>1</v>
      </c>
      <c r="H1007" t="str">
        <f t="shared" si="30"/>
        <v>Row 250 - For a ‘Transport unit’ both ‘Location on board’ and ‘Amount’ are required</v>
      </c>
      <c r="I1007" t="s">
        <v>1391</v>
      </c>
      <c r="J1007" t="b">
        <f>IF(OR(INDEX(OHZ_HAZ_UNITTYPE,250,1)&lt;&gt;"",),IF(OR(INDEX(OHZ_HAZ_LOCATION,250,1)="",INDEX(OHZ_HAZ_AMOUNT,250,1)="",),FALSE,TRUE),TRUE)</f>
        <v>1</v>
      </c>
      <c r="K1007" t="str">
        <f t="shared" si="31"/>
        <v>Row 250 - For a ‘Transport unit’ both ‘Location on board’ and ‘Amount’ are required</v>
      </c>
      <c r="L1007" t="s">
        <v>1391</v>
      </c>
    </row>
    <row r="1008" spans="7:12" x14ac:dyDescent="0.25">
      <c r="G1008" t="b">
        <f>IF(OR(INDEX(IHZ_HAZ_AMOUNT,1,1)&lt;&gt;"",),IF(OR(INDEX(IHZ_HAZ_NETGROSS,1,1)="",INDEX(IHZ_HAZ_UNIT,1,1)="",),FALSE,TRUE),TRUE)</f>
        <v>1</v>
      </c>
      <c r="H1008" t="str">
        <f>T1&amp;$V$5</f>
        <v>Row 1 - For ‘Transport unit’ if ‘Amount’ is given then ‘Gross / Net’ and ‘Amount unit’ are required</v>
      </c>
      <c r="I1008" t="s">
        <v>1391</v>
      </c>
      <c r="J1008" t="b">
        <f>IF(OR(INDEX(OHZ_HAZ_AMOUNT,1,1)&lt;&gt;"",),IF(OR(INDEX(OHZ_HAZ_NETGROSS,1,1)="",INDEX(OHZ_HAZ_UNIT,1,1)="",),FALSE,TRUE),TRUE)</f>
        <v>1</v>
      </c>
      <c r="K1008" t="str">
        <f>T1&amp;$V$5</f>
        <v>Row 1 - For ‘Transport unit’ if ‘Amount’ is given then ‘Gross / Net’ and ‘Amount unit’ are required</v>
      </c>
      <c r="L1008" t="s">
        <v>1391</v>
      </c>
    </row>
    <row r="1009" spans="7:12" x14ac:dyDescent="0.25">
      <c r="G1009" t="b">
        <f>IF(OR(INDEX(IHZ_HAZ_AMOUNT,2,1)&lt;&gt;"",),IF(OR(INDEX(IHZ_HAZ_NETGROSS,2,1)="",INDEX(IHZ_HAZ_UNIT,2,1)="",),FALSE,TRUE),TRUE)</f>
        <v>1</v>
      </c>
      <c r="H1009" t="str">
        <f t="shared" ref="H1009:H1072" si="32">T2&amp;$V$5</f>
        <v>Row 2 - For ‘Transport unit’ if ‘Amount’ is given then ‘Gross / Net’ and ‘Amount unit’ are required</v>
      </c>
      <c r="I1009" t="s">
        <v>1391</v>
      </c>
      <c r="J1009" t="b">
        <f>IF(OR(INDEX(OHZ_HAZ_AMOUNT,2,1)&lt;&gt;"",),IF(OR(INDEX(OHZ_HAZ_NETGROSS,2,1)="",INDEX(OHZ_HAZ_UNIT,2,1)="",),FALSE,TRUE),TRUE)</f>
        <v>1</v>
      </c>
      <c r="K1009" t="str">
        <f t="shared" ref="K1009:K1072" si="33">T2&amp;$V$5</f>
        <v>Row 2 - For ‘Transport unit’ if ‘Amount’ is given then ‘Gross / Net’ and ‘Amount unit’ are required</v>
      </c>
      <c r="L1009" t="s">
        <v>1391</v>
      </c>
    </row>
    <row r="1010" spans="7:12" x14ac:dyDescent="0.25">
      <c r="G1010" t="b">
        <f>IF(OR(INDEX(IHZ_HAZ_AMOUNT,3,1)&lt;&gt;"",),IF(OR(INDEX(IHZ_HAZ_NETGROSS,3,1)="",INDEX(IHZ_HAZ_UNIT,3,1)="",),FALSE,TRUE),TRUE)</f>
        <v>1</v>
      </c>
      <c r="H1010" t="str">
        <f t="shared" si="32"/>
        <v>Row 3 - For ‘Transport unit’ if ‘Amount’ is given then ‘Gross / Net’ and ‘Amount unit’ are required</v>
      </c>
      <c r="I1010" t="s">
        <v>1391</v>
      </c>
      <c r="J1010" t="b">
        <f>IF(OR(INDEX(OHZ_HAZ_AMOUNT,3,1)&lt;&gt;"",),IF(OR(INDEX(OHZ_HAZ_NETGROSS,3,1)="",INDEX(OHZ_HAZ_UNIT,3,1)="",),FALSE,TRUE),TRUE)</f>
        <v>1</v>
      </c>
      <c r="K1010" t="str">
        <f t="shared" si="33"/>
        <v>Row 3 - For ‘Transport unit’ if ‘Amount’ is given then ‘Gross / Net’ and ‘Amount unit’ are required</v>
      </c>
      <c r="L1010" t="s">
        <v>1391</v>
      </c>
    </row>
    <row r="1011" spans="7:12" x14ac:dyDescent="0.25">
      <c r="G1011" t="b">
        <f>IF(OR(INDEX(IHZ_HAZ_AMOUNT,4,1)&lt;&gt;"",),IF(OR(INDEX(IHZ_HAZ_NETGROSS,4,1)="",INDEX(IHZ_HAZ_UNIT,4,1)="",),FALSE,TRUE),TRUE)</f>
        <v>1</v>
      </c>
      <c r="H1011" t="str">
        <f t="shared" si="32"/>
        <v>Row 4 - For ‘Transport unit’ if ‘Amount’ is given then ‘Gross / Net’ and ‘Amount unit’ are required</v>
      </c>
      <c r="I1011" t="s">
        <v>1391</v>
      </c>
      <c r="J1011" t="b">
        <f>IF(OR(INDEX(OHZ_HAZ_AMOUNT,4,1)&lt;&gt;"",),IF(OR(INDEX(OHZ_HAZ_NETGROSS,4,1)="",INDEX(OHZ_HAZ_UNIT,4,1)="",),FALSE,TRUE),TRUE)</f>
        <v>1</v>
      </c>
      <c r="K1011" t="str">
        <f t="shared" si="33"/>
        <v>Row 4 - For ‘Transport unit’ if ‘Amount’ is given then ‘Gross / Net’ and ‘Amount unit’ are required</v>
      </c>
      <c r="L1011" t="s">
        <v>1391</v>
      </c>
    </row>
    <row r="1012" spans="7:12" x14ac:dyDescent="0.25">
      <c r="G1012" t="b">
        <f>IF(OR(INDEX(IHZ_HAZ_AMOUNT,5,1)&lt;&gt;"",),IF(OR(INDEX(IHZ_HAZ_NETGROSS,5,1)="",INDEX(IHZ_HAZ_UNIT,5,1)="",),FALSE,TRUE),TRUE)</f>
        <v>1</v>
      </c>
      <c r="H1012" t="str">
        <f t="shared" si="32"/>
        <v>Row 5 - For ‘Transport unit’ if ‘Amount’ is given then ‘Gross / Net’ and ‘Amount unit’ are required</v>
      </c>
      <c r="I1012" t="s">
        <v>1391</v>
      </c>
      <c r="J1012" t="b">
        <f>IF(OR(INDEX(OHZ_HAZ_AMOUNT,5,1)&lt;&gt;"",),IF(OR(INDEX(OHZ_HAZ_NETGROSS,5,1)="",INDEX(OHZ_HAZ_UNIT,5,1)="",),FALSE,TRUE),TRUE)</f>
        <v>1</v>
      </c>
      <c r="K1012" t="str">
        <f t="shared" si="33"/>
        <v>Row 5 - For ‘Transport unit’ if ‘Amount’ is given then ‘Gross / Net’ and ‘Amount unit’ are required</v>
      </c>
      <c r="L1012" t="s">
        <v>1391</v>
      </c>
    </row>
    <row r="1013" spans="7:12" x14ac:dyDescent="0.25">
      <c r="G1013" t="b">
        <f>IF(OR(INDEX(IHZ_HAZ_AMOUNT,6,1)&lt;&gt;"",),IF(OR(INDEX(IHZ_HAZ_NETGROSS,6,1)="",INDEX(IHZ_HAZ_UNIT,6,1)="",),FALSE,TRUE),TRUE)</f>
        <v>1</v>
      </c>
      <c r="H1013" t="str">
        <f t="shared" si="32"/>
        <v>Row 6 - For ‘Transport unit’ if ‘Amount’ is given then ‘Gross / Net’ and ‘Amount unit’ are required</v>
      </c>
      <c r="I1013" t="s">
        <v>1391</v>
      </c>
      <c r="J1013" t="b">
        <f>IF(OR(INDEX(OHZ_HAZ_AMOUNT,6,1)&lt;&gt;"",),IF(OR(INDEX(OHZ_HAZ_NETGROSS,6,1)="",INDEX(OHZ_HAZ_UNIT,6,1)="",),FALSE,TRUE),TRUE)</f>
        <v>1</v>
      </c>
      <c r="K1013" t="str">
        <f t="shared" si="33"/>
        <v>Row 6 - For ‘Transport unit’ if ‘Amount’ is given then ‘Gross / Net’ and ‘Amount unit’ are required</v>
      </c>
      <c r="L1013" t="s">
        <v>1391</v>
      </c>
    </row>
    <row r="1014" spans="7:12" x14ac:dyDescent="0.25">
      <c r="G1014" t="b">
        <f>IF(OR(INDEX(IHZ_HAZ_AMOUNT,7,1)&lt;&gt;"",),IF(OR(INDEX(IHZ_HAZ_NETGROSS,7,1)="",INDEX(IHZ_HAZ_UNIT,7,1)="",),FALSE,TRUE),TRUE)</f>
        <v>1</v>
      </c>
      <c r="H1014" t="str">
        <f t="shared" si="32"/>
        <v>Row 7 - For ‘Transport unit’ if ‘Amount’ is given then ‘Gross / Net’ and ‘Amount unit’ are required</v>
      </c>
      <c r="I1014" t="s">
        <v>1391</v>
      </c>
      <c r="J1014" t="b">
        <f>IF(OR(INDEX(OHZ_HAZ_AMOUNT,7,1)&lt;&gt;"",),IF(OR(INDEX(OHZ_HAZ_NETGROSS,7,1)="",INDEX(OHZ_HAZ_UNIT,7,1)="",),FALSE,TRUE),TRUE)</f>
        <v>1</v>
      </c>
      <c r="K1014" t="str">
        <f t="shared" si="33"/>
        <v>Row 7 - For ‘Transport unit’ if ‘Amount’ is given then ‘Gross / Net’ and ‘Amount unit’ are required</v>
      </c>
      <c r="L1014" t="s">
        <v>1391</v>
      </c>
    </row>
    <row r="1015" spans="7:12" x14ac:dyDescent="0.25">
      <c r="G1015" t="b">
        <f>IF(OR(INDEX(IHZ_HAZ_AMOUNT,8,1)&lt;&gt;"",),IF(OR(INDEX(IHZ_HAZ_NETGROSS,8,1)="",INDEX(IHZ_HAZ_UNIT,8,1)="",),FALSE,TRUE),TRUE)</f>
        <v>1</v>
      </c>
      <c r="H1015" t="str">
        <f t="shared" si="32"/>
        <v>Row 8 - For ‘Transport unit’ if ‘Amount’ is given then ‘Gross / Net’ and ‘Amount unit’ are required</v>
      </c>
      <c r="I1015" t="s">
        <v>1391</v>
      </c>
      <c r="J1015" t="b">
        <f>IF(OR(INDEX(OHZ_HAZ_AMOUNT,8,1)&lt;&gt;"",),IF(OR(INDEX(OHZ_HAZ_NETGROSS,8,1)="",INDEX(OHZ_HAZ_UNIT,8,1)="",),FALSE,TRUE),TRUE)</f>
        <v>1</v>
      </c>
      <c r="K1015" t="str">
        <f t="shared" si="33"/>
        <v>Row 8 - For ‘Transport unit’ if ‘Amount’ is given then ‘Gross / Net’ and ‘Amount unit’ are required</v>
      </c>
      <c r="L1015" t="s">
        <v>1391</v>
      </c>
    </row>
    <row r="1016" spans="7:12" x14ac:dyDescent="0.25">
      <c r="G1016" t="b">
        <f>IF(OR(INDEX(IHZ_HAZ_AMOUNT,9,1)&lt;&gt;"",),IF(OR(INDEX(IHZ_HAZ_NETGROSS,9,1)="",INDEX(IHZ_HAZ_UNIT,9,1)="",),FALSE,TRUE),TRUE)</f>
        <v>1</v>
      </c>
      <c r="H1016" t="str">
        <f t="shared" si="32"/>
        <v>Row 9 - For ‘Transport unit’ if ‘Amount’ is given then ‘Gross / Net’ and ‘Amount unit’ are required</v>
      </c>
      <c r="I1016" t="s">
        <v>1391</v>
      </c>
      <c r="J1016" t="b">
        <f>IF(OR(INDEX(OHZ_HAZ_AMOUNT,9,1)&lt;&gt;"",),IF(OR(INDEX(OHZ_HAZ_NETGROSS,9,1)="",INDEX(OHZ_HAZ_UNIT,9,1)="",),FALSE,TRUE),TRUE)</f>
        <v>1</v>
      </c>
      <c r="K1016" t="str">
        <f t="shared" si="33"/>
        <v>Row 9 - For ‘Transport unit’ if ‘Amount’ is given then ‘Gross / Net’ and ‘Amount unit’ are required</v>
      </c>
      <c r="L1016" t="s">
        <v>1391</v>
      </c>
    </row>
    <row r="1017" spans="7:12" x14ac:dyDescent="0.25">
      <c r="G1017" t="b">
        <f>IF(OR(INDEX(IHZ_HAZ_AMOUNT,10,1)&lt;&gt;"",),IF(OR(INDEX(IHZ_HAZ_NETGROSS,10,1)="",INDEX(IHZ_HAZ_UNIT,10,1)="",),FALSE,TRUE),TRUE)</f>
        <v>1</v>
      </c>
      <c r="H1017" t="str">
        <f t="shared" si="32"/>
        <v>Row 10 - For ‘Transport unit’ if ‘Amount’ is given then ‘Gross / Net’ and ‘Amount unit’ are required</v>
      </c>
      <c r="I1017" t="s">
        <v>1391</v>
      </c>
      <c r="J1017" t="b">
        <f>IF(OR(INDEX(OHZ_HAZ_AMOUNT,10,1)&lt;&gt;"",),IF(OR(INDEX(OHZ_HAZ_NETGROSS,10,1)="",INDEX(OHZ_HAZ_UNIT,10,1)="",),FALSE,TRUE),TRUE)</f>
        <v>1</v>
      </c>
      <c r="K1017" t="str">
        <f t="shared" si="33"/>
        <v>Row 10 - For ‘Transport unit’ if ‘Amount’ is given then ‘Gross / Net’ and ‘Amount unit’ are required</v>
      </c>
      <c r="L1017" t="s">
        <v>1391</v>
      </c>
    </row>
    <row r="1018" spans="7:12" x14ac:dyDescent="0.25">
      <c r="G1018" t="b">
        <f>IF(OR(INDEX(IHZ_HAZ_AMOUNT,11,1)&lt;&gt;"",),IF(OR(INDEX(IHZ_HAZ_NETGROSS,11,1)="",INDEX(IHZ_HAZ_UNIT,11,1)="",),FALSE,TRUE),TRUE)</f>
        <v>1</v>
      </c>
      <c r="H1018" t="str">
        <f t="shared" si="32"/>
        <v>Row 11 - For ‘Transport unit’ if ‘Amount’ is given then ‘Gross / Net’ and ‘Amount unit’ are required</v>
      </c>
      <c r="I1018" t="s">
        <v>1391</v>
      </c>
      <c r="J1018" t="b">
        <f>IF(OR(INDEX(OHZ_HAZ_AMOUNT,11,1)&lt;&gt;"",),IF(OR(INDEX(OHZ_HAZ_NETGROSS,11,1)="",INDEX(OHZ_HAZ_UNIT,11,1)="",),FALSE,TRUE),TRUE)</f>
        <v>1</v>
      </c>
      <c r="K1018" t="str">
        <f t="shared" si="33"/>
        <v>Row 11 - For ‘Transport unit’ if ‘Amount’ is given then ‘Gross / Net’ and ‘Amount unit’ are required</v>
      </c>
      <c r="L1018" t="s">
        <v>1391</v>
      </c>
    </row>
    <row r="1019" spans="7:12" x14ac:dyDescent="0.25">
      <c r="G1019" t="b">
        <f>IF(OR(INDEX(IHZ_HAZ_AMOUNT,12,1)&lt;&gt;"",),IF(OR(INDEX(IHZ_HAZ_NETGROSS,12,1)="",INDEX(IHZ_HAZ_UNIT,12,1)="",),FALSE,TRUE),TRUE)</f>
        <v>1</v>
      </c>
      <c r="H1019" t="str">
        <f t="shared" si="32"/>
        <v>Row 12 - For ‘Transport unit’ if ‘Amount’ is given then ‘Gross / Net’ and ‘Amount unit’ are required</v>
      </c>
      <c r="I1019" t="s">
        <v>1391</v>
      </c>
      <c r="J1019" t="b">
        <f>IF(OR(INDEX(OHZ_HAZ_AMOUNT,12,1)&lt;&gt;"",),IF(OR(INDEX(OHZ_HAZ_NETGROSS,12,1)="",INDEX(OHZ_HAZ_UNIT,12,1)="",),FALSE,TRUE),TRUE)</f>
        <v>1</v>
      </c>
      <c r="K1019" t="str">
        <f t="shared" si="33"/>
        <v>Row 12 - For ‘Transport unit’ if ‘Amount’ is given then ‘Gross / Net’ and ‘Amount unit’ are required</v>
      </c>
      <c r="L1019" t="s">
        <v>1391</v>
      </c>
    </row>
    <row r="1020" spans="7:12" x14ac:dyDescent="0.25">
      <c r="G1020" t="b">
        <f>IF(OR(INDEX(IHZ_HAZ_AMOUNT,13,1)&lt;&gt;"",),IF(OR(INDEX(IHZ_HAZ_NETGROSS,13,1)="",INDEX(IHZ_HAZ_UNIT,13,1)="",),FALSE,TRUE),TRUE)</f>
        <v>1</v>
      </c>
      <c r="H1020" t="str">
        <f t="shared" si="32"/>
        <v>Row 13 - For ‘Transport unit’ if ‘Amount’ is given then ‘Gross / Net’ and ‘Amount unit’ are required</v>
      </c>
      <c r="I1020" t="s">
        <v>1391</v>
      </c>
      <c r="J1020" t="b">
        <f>IF(OR(INDEX(OHZ_HAZ_AMOUNT,13,1)&lt;&gt;"",),IF(OR(INDEX(OHZ_HAZ_NETGROSS,13,1)="",INDEX(OHZ_HAZ_UNIT,13,1)="",),FALSE,TRUE),TRUE)</f>
        <v>1</v>
      </c>
      <c r="K1020" t="str">
        <f t="shared" si="33"/>
        <v>Row 13 - For ‘Transport unit’ if ‘Amount’ is given then ‘Gross / Net’ and ‘Amount unit’ are required</v>
      </c>
      <c r="L1020" t="s">
        <v>1391</v>
      </c>
    </row>
    <row r="1021" spans="7:12" x14ac:dyDescent="0.25">
      <c r="G1021" t="b">
        <f>IF(OR(INDEX(IHZ_HAZ_AMOUNT,14,1)&lt;&gt;"",),IF(OR(INDEX(IHZ_HAZ_NETGROSS,14,1)="",INDEX(IHZ_HAZ_UNIT,14,1)="",),FALSE,TRUE),TRUE)</f>
        <v>1</v>
      </c>
      <c r="H1021" t="str">
        <f t="shared" si="32"/>
        <v>Row 14 - For ‘Transport unit’ if ‘Amount’ is given then ‘Gross / Net’ and ‘Amount unit’ are required</v>
      </c>
      <c r="I1021" t="s">
        <v>1391</v>
      </c>
      <c r="J1021" t="b">
        <f>IF(OR(INDEX(OHZ_HAZ_AMOUNT,14,1)&lt;&gt;"",),IF(OR(INDEX(OHZ_HAZ_NETGROSS,14,1)="",INDEX(OHZ_HAZ_UNIT,14,1)="",),FALSE,TRUE),TRUE)</f>
        <v>1</v>
      </c>
      <c r="K1021" t="str">
        <f t="shared" si="33"/>
        <v>Row 14 - For ‘Transport unit’ if ‘Amount’ is given then ‘Gross / Net’ and ‘Amount unit’ are required</v>
      </c>
      <c r="L1021" t="s">
        <v>1391</v>
      </c>
    </row>
    <row r="1022" spans="7:12" x14ac:dyDescent="0.25">
      <c r="G1022" t="b">
        <f>IF(OR(INDEX(IHZ_HAZ_AMOUNT,15,1)&lt;&gt;"",),IF(OR(INDEX(IHZ_HAZ_NETGROSS,15,1)="",INDEX(IHZ_HAZ_UNIT,15,1)="",),FALSE,TRUE),TRUE)</f>
        <v>1</v>
      </c>
      <c r="H1022" t="str">
        <f t="shared" si="32"/>
        <v>Row 15 - For ‘Transport unit’ if ‘Amount’ is given then ‘Gross / Net’ and ‘Amount unit’ are required</v>
      </c>
      <c r="I1022" t="s">
        <v>1391</v>
      </c>
      <c r="J1022" t="b">
        <f>IF(OR(INDEX(OHZ_HAZ_AMOUNT,15,1)&lt;&gt;"",),IF(OR(INDEX(OHZ_HAZ_NETGROSS,15,1)="",INDEX(OHZ_HAZ_UNIT,15,1)="",),FALSE,TRUE),TRUE)</f>
        <v>1</v>
      </c>
      <c r="K1022" t="str">
        <f t="shared" si="33"/>
        <v>Row 15 - For ‘Transport unit’ if ‘Amount’ is given then ‘Gross / Net’ and ‘Amount unit’ are required</v>
      </c>
      <c r="L1022" t="s">
        <v>1391</v>
      </c>
    </row>
    <row r="1023" spans="7:12" x14ac:dyDescent="0.25">
      <c r="G1023" t="b">
        <f>IF(OR(INDEX(IHZ_HAZ_AMOUNT,16,1)&lt;&gt;"",),IF(OR(INDEX(IHZ_HAZ_NETGROSS,16,1)="",INDEX(IHZ_HAZ_UNIT,16,1)="",),FALSE,TRUE),TRUE)</f>
        <v>1</v>
      </c>
      <c r="H1023" t="str">
        <f t="shared" si="32"/>
        <v>Row 16 - For ‘Transport unit’ if ‘Amount’ is given then ‘Gross / Net’ and ‘Amount unit’ are required</v>
      </c>
      <c r="I1023" t="s">
        <v>1391</v>
      </c>
      <c r="J1023" t="b">
        <f>IF(OR(INDEX(OHZ_HAZ_AMOUNT,16,1)&lt;&gt;"",),IF(OR(INDEX(OHZ_HAZ_NETGROSS,16,1)="",INDEX(OHZ_HAZ_UNIT,16,1)="",),FALSE,TRUE),TRUE)</f>
        <v>1</v>
      </c>
      <c r="K1023" t="str">
        <f t="shared" si="33"/>
        <v>Row 16 - For ‘Transport unit’ if ‘Amount’ is given then ‘Gross / Net’ and ‘Amount unit’ are required</v>
      </c>
      <c r="L1023" t="s">
        <v>1391</v>
      </c>
    </row>
    <row r="1024" spans="7:12" x14ac:dyDescent="0.25">
      <c r="G1024" t="b">
        <f>IF(OR(INDEX(IHZ_HAZ_AMOUNT,17,1)&lt;&gt;"",),IF(OR(INDEX(IHZ_HAZ_NETGROSS,17,1)="",INDEX(IHZ_HAZ_UNIT,17,1)="",),FALSE,TRUE),TRUE)</f>
        <v>1</v>
      </c>
      <c r="H1024" t="str">
        <f t="shared" si="32"/>
        <v>Row 17 - For ‘Transport unit’ if ‘Amount’ is given then ‘Gross / Net’ and ‘Amount unit’ are required</v>
      </c>
      <c r="I1024" t="s">
        <v>1391</v>
      </c>
      <c r="J1024" t="b">
        <f>IF(OR(INDEX(OHZ_HAZ_AMOUNT,17,1)&lt;&gt;"",),IF(OR(INDEX(OHZ_HAZ_NETGROSS,17,1)="",INDEX(OHZ_HAZ_UNIT,17,1)="",),FALSE,TRUE),TRUE)</f>
        <v>1</v>
      </c>
      <c r="K1024" t="str">
        <f t="shared" si="33"/>
        <v>Row 17 - For ‘Transport unit’ if ‘Amount’ is given then ‘Gross / Net’ and ‘Amount unit’ are required</v>
      </c>
      <c r="L1024" t="s">
        <v>1391</v>
      </c>
    </row>
    <row r="1025" spans="7:12" x14ac:dyDescent="0.25">
      <c r="G1025" t="b">
        <f>IF(OR(INDEX(IHZ_HAZ_AMOUNT,18,1)&lt;&gt;"",),IF(OR(INDEX(IHZ_HAZ_NETGROSS,18,1)="",INDEX(IHZ_HAZ_UNIT,18,1)="",),FALSE,TRUE),TRUE)</f>
        <v>1</v>
      </c>
      <c r="H1025" t="str">
        <f t="shared" si="32"/>
        <v>Row 18 - For ‘Transport unit’ if ‘Amount’ is given then ‘Gross / Net’ and ‘Amount unit’ are required</v>
      </c>
      <c r="I1025" t="s">
        <v>1391</v>
      </c>
      <c r="J1025" t="b">
        <f>IF(OR(INDEX(OHZ_HAZ_AMOUNT,18,1)&lt;&gt;"",),IF(OR(INDEX(OHZ_HAZ_NETGROSS,18,1)="",INDEX(OHZ_HAZ_UNIT,18,1)="",),FALSE,TRUE),TRUE)</f>
        <v>1</v>
      </c>
      <c r="K1025" t="str">
        <f t="shared" si="33"/>
        <v>Row 18 - For ‘Transport unit’ if ‘Amount’ is given then ‘Gross / Net’ and ‘Amount unit’ are required</v>
      </c>
      <c r="L1025" t="s">
        <v>1391</v>
      </c>
    </row>
    <row r="1026" spans="7:12" x14ac:dyDescent="0.25">
      <c r="G1026" t="b">
        <f>IF(OR(INDEX(IHZ_HAZ_AMOUNT,19,1)&lt;&gt;"",),IF(OR(INDEX(IHZ_HAZ_NETGROSS,19,1)="",INDEX(IHZ_HAZ_UNIT,19,1)="",),FALSE,TRUE),TRUE)</f>
        <v>1</v>
      </c>
      <c r="H1026" t="str">
        <f t="shared" si="32"/>
        <v>Row 19 - For ‘Transport unit’ if ‘Amount’ is given then ‘Gross / Net’ and ‘Amount unit’ are required</v>
      </c>
      <c r="I1026" t="s">
        <v>1391</v>
      </c>
      <c r="J1026" t="b">
        <f>IF(OR(INDEX(OHZ_HAZ_AMOUNT,19,1)&lt;&gt;"",),IF(OR(INDEX(OHZ_HAZ_NETGROSS,19,1)="",INDEX(OHZ_HAZ_UNIT,19,1)="",),FALSE,TRUE),TRUE)</f>
        <v>1</v>
      </c>
      <c r="K1026" t="str">
        <f t="shared" si="33"/>
        <v>Row 19 - For ‘Transport unit’ if ‘Amount’ is given then ‘Gross / Net’ and ‘Amount unit’ are required</v>
      </c>
      <c r="L1026" t="s">
        <v>1391</v>
      </c>
    </row>
    <row r="1027" spans="7:12" x14ac:dyDescent="0.25">
      <c r="G1027" t="b">
        <f>IF(OR(INDEX(IHZ_HAZ_AMOUNT,20,1)&lt;&gt;"",),IF(OR(INDEX(IHZ_HAZ_NETGROSS,20,1)="",INDEX(IHZ_HAZ_UNIT,20,1)="",),FALSE,TRUE),TRUE)</f>
        <v>1</v>
      </c>
      <c r="H1027" t="str">
        <f t="shared" si="32"/>
        <v>Row 20 - For ‘Transport unit’ if ‘Amount’ is given then ‘Gross / Net’ and ‘Amount unit’ are required</v>
      </c>
      <c r="I1027" t="s">
        <v>1391</v>
      </c>
      <c r="J1027" t="b">
        <f>IF(OR(INDEX(OHZ_HAZ_AMOUNT,20,1)&lt;&gt;"",),IF(OR(INDEX(OHZ_HAZ_NETGROSS,20,1)="",INDEX(OHZ_HAZ_UNIT,20,1)="",),FALSE,TRUE),TRUE)</f>
        <v>1</v>
      </c>
      <c r="K1027" t="str">
        <f t="shared" si="33"/>
        <v>Row 20 - For ‘Transport unit’ if ‘Amount’ is given then ‘Gross / Net’ and ‘Amount unit’ are required</v>
      </c>
      <c r="L1027" t="s">
        <v>1391</v>
      </c>
    </row>
    <row r="1028" spans="7:12" x14ac:dyDescent="0.25">
      <c r="G1028" t="b">
        <f>IF(OR(INDEX(IHZ_HAZ_AMOUNT,21,1)&lt;&gt;"",),IF(OR(INDEX(IHZ_HAZ_NETGROSS,21,1)="",INDEX(IHZ_HAZ_UNIT,21,1)="",),FALSE,TRUE),TRUE)</f>
        <v>1</v>
      </c>
      <c r="H1028" t="str">
        <f t="shared" si="32"/>
        <v>Row 21 - For ‘Transport unit’ if ‘Amount’ is given then ‘Gross / Net’ and ‘Amount unit’ are required</v>
      </c>
      <c r="I1028" t="s">
        <v>1391</v>
      </c>
      <c r="J1028" t="b">
        <f>IF(OR(INDEX(OHZ_HAZ_AMOUNT,21,1)&lt;&gt;"",),IF(OR(INDEX(OHZ_HAZ_NETGROSS,21,1)="",INDEX(OHZ_HAZ_UNIT,21,1)="",),FALSE,TRUE),TRUE)</f>
        <v>1</v>
      </c>
      <c r="K1028" t="str">
        <f t="shared" si="33"/>
        <v>Row 21 - For ‘Transport unit’ if ‘Amount’ is given then ‘Gross / Net’ and ‘Amount unit’ are required</v>
      </c>
      <c r="L1028" t="s">
        <v>1391</v>
      </c>
    </row>
    <row r="1029" spans="7:12" x14ac:dyDescent="0.25">
      <c r="G1029" t="b">
        <f>IF(OR(INDEX(IHZ_HAZ_AMOUNT,22,1)&lt;&gt;"",),IF(OR(INDEX(IHZ_HAZ_NETGROSS,22,1)="",INDEX(IHZ_HAZ_UNIT,22,1)="",),FALSE,TRUE),TRUE)</f>
        <v>1</v>
      </c>
      <c r="H1029" t="str">
        <f t="shared" si="32"/>
        <v>Row 22 - For ‘Transport unit’ if ‘Amount’ is given then ‘Gross / Net’ and ‘Amount unit’ are required</v>
      </c>
      <c r="I1029" t="s">
        <v>1391</v>
      </c>
      <c r="J1029" t="b">
        <f>IF(OR(INDEX(OHZ_HAZ_AMOUNT,22,1)&lt;&gt;"",),IF(OR(INDEX(OHZ_HAZ_NETGROSS,22,1)="",INDEX(OHZ_HAZ_UNIT,22,1)="",),FALSE,TRUE),TRUE)</f>
        <v>1</v>
      </c>
      <c r="K1029" t="str">
        <f t="shared" si="33"/>
        <v>Row 22 - For ‘Transport unit’ if ‘Amount’ is given then ‘Gross / Net’ and ‘Amount unit’ are required</v>
      </c>
      <c r="L1029" t="s">
        <v>1391</v>
      </c>
    </row>
    <row r="1030" spans="7:12" x14ac:dyDescent="0.25">
      <c r="G1030" t="b">
        <f>IF(OR(INDEX(IHZ_HAZ_AMOUNT,23,1)&lt;&gt;"",),IF(OR(INDEX(IHZ_HAZ_NETGROSS,23,1)="",INDEX(IHZ_HAZ_UNIT,23,1)="",),FALSE,TRUE),TRUE)</f>
        <v>1</v>
      </c>
      <c r="H1030" t="str">
        <f t="shared" si="32"/>
        <v>Row 23 - For ‘Transport unit’ if ‘Amount’ is given then ‘Gross / Net’ and ‘Amount unit’ are required</v>
      </c>
      <c r="I1030" t="s">
        <v>1391</v>
      </c>
      <c r="J1030" t="b">
        <f>IF(OR(INDEX(OHZ_HAZ_AMOUNT,23,1)&lt;&gt;"",),IF(OR(INDEX(OHZ_HAZ_NETGROSS,23,1)="",INDEX(OHZ_HAZ_UNIT,23,1)="",),FALSE,TRUE),TRUE)</f>
        <v>1</v>
      </c>
      <c r="K1030" t="str">
        <f t="shared" si="33"/>
        <v>Row 23 - For ‘Transport unit’ if ‘Amount’ is given then ‘Gross / Net’ and ‘Amount unit’ are required</v>
      </c>
      <c r="L1030" t="s">
        <v>1391</v>
      </c>
    </row>
    <row r="1031" spans="7:12" x14ac:dyDescent="0.25">
      <c r="G1031" t="b">
        <f>IF(OR(INDEX(IHZ_HAZ_AMOUNT,24,1)&lt;&gt;"",),IF(OR(INDEX(IHZ_HAZ_NETGROSS,24,1)="",INDEX(IHZ_HAZ_UNIT,24,1)="",),FALSE,TRUE),TRUE)</f>
        <v>1</v>
      </c>
      <c r="H1031" t="str">
        <f t="shared" si="32"/>
        <v>Row 24 - For ‘Transport unit’ if ‘Amount’ is given then ‘Gross / Net’ and ‘Amount unit’ are required</v>
      </c>
      <c r="I1031" t="s">
        <v>1391</v>
      </c>
      <c r="J1031" t="b">
        <f>IF(OR(INDEX(OHZ_HAZ_AMOUNT,24,1)&lt;&gt;"",),IF(OR(INDEX(OHZ_HAZ_NETGROSS,24,1)="",INDEX(OHZ_HAZ_UNIT,24,1)="",),FALSE,TRUE),TRUE)</f>
        <v>1</v>
      </c>
      <c r="K1031" t="str">
        <f t="shared" si="33"/>
        <v>Row 24 - For ‘Transport unit’ if ‘Amount’ is given then ‘Gross / Net’ and ‘Amount unit’ are required</v>
      </c>
      <c r="L1031" t="s">
        <v>1391</v>
      </c>
    </row>
    <row r="1032" spans="7:12" x14ac:dyDescent="0.25">
      <c r="G1032" t="b">
        <f>IF(OR(INDEX(IHZ_HAZ_AMOUNT,25,1)&lt;&gt;"",),IF(OR(INDEX(IHZ_HAZ_NETGROSS,25,1)="",INDEX(IHZ_HAZ_UNIT,25,1)="",),FALSE,TRUE),TRUE)</f>
        <v>1</v>
      </c>
      <c r="H1032" t="str">
        <f t="shared" si="32"/>
        <v>Row 25 - For ‘Transport unit’ if ‘Amount’ is given then ‘Gross / Net’ and ‘Amount unit’ are required</v>
      </c>
      <c r="I1032" t="s">
        <v>1391</v>
      </c>
      <c r="J1032" t="b">
        <f>IF(OR(INDEX(OHZ_HAZ_AMOUNT,25,1)&lt;&gt;"",),IF(OR(INDEX(OHZ_HAZ_NETGROSS,25,1)="",INDEX(OHZ_HAZ_UNIT,25,1)="",),FALSE,TRUE),TRUE)</f>
        <v>1</v>
      </c>
      <c r="K1032" t="str">
        <f t="shared" si="33"/>
        <v>Row 25 - For ‘Transport unit’ if ‘Amount’ is given then ‘Gross / Net’ and ‘Amount unit’ are required</v>
      </c>
      <c r="L1032" t="s">
        <v>1391</v>
      </c>
    </row>
    <row r="1033" spans="7:12" x14ac:dyDescent="0.25">
      <c r="G1033" t="b">
        <f>IF(OR(INDEX(IHZ_HAZ_AMOUNT,26,1)&lt;&gt;"",),IF(OR(INDEX(IHZ_HAZ_NETGROSS,26,1)="",INDEX(IHZ_HAZ_UNIT,26,1)="",),FALSE,TRUE),TRUE)</f>
        <v>1</v>
      </c>
      <c r="H1033" t="str">
        <f t="shared" si="32"/>
        <v>Row 26 - For ‘Transport unit’ if ‘Amount’ is given then ‘Gross / Net’ and ‘Amount unit’ are required</v>
      </c>
      <c r="I1033" t="s">
        <v>1391</v>
      </c>
      <c r="J1033" t="b">
        <f>IF(OR(INDEX(OHZ_HAZ_AMOUNT,26,1)&lt;&gt;"",),IF(OR(INDEX(OHZ_HAZ_NETGROSS,26,1)="",INDEX(OHZ_HAZ_UNIT,26,1)="",),FALSE,TRUE),TRUE)</f>
        <v>1</v>
      </c>
      <c r="K1033" t="str">
        <f t="shared" si="33"/>
        <v>Row 26 - For ‘Transport unit’ if ‘Amount’ is given then ‘Gross / Net’ and ‘Amount unit’ are required</v>
      </c>
      <c r="L1033" t="s">
        <v>1391</v>
      </c>
    </row>
    <row r="1034" spans="7:12" x14ac:dyDescent="0.25">
      <c r="G1034" t="b">
        <f>IF(OR(INDEX(IHZ_HAZ_AMOUNT,27,1)&lt;&gt;"",),IF(OR(INDEX(IHZ_HAZ_NETGROSS,27,1)="",INDEX(IHZ_HAZ_UNIT,27,1)="",),FALSE,TRUE),TRUE)</f>
        <v>1</v>
      </c>
      <c r="H1034" t="str">
        <f t="shared" si="32"/>
        <v>Row 27 - For ‘Transport unit’ if ‘Amount’ is given then ‘Gross / Net’ and ‘Amount unit’ are required</v>
      </c>
      <c r="I1034" t="s">
        <v>1391</v>
      </c>
      <c r="J1034" t="b">
        <f>IF(OR(INDEX(OHZ_HAZ_AMOUNT,27,1)&lt;&gt;"",),IF(OR(INDEX(OHZ_HAZ_NETGROSS,27,1)="",INDEX(OHZ_HAZ_UNIT,27,1)="",),FALSE,TRUE),TRUE)</f>
        <v>1</v>
      </c>
      <c r="K1034" t="str">
        <f t="shared" si="33"/>
        <v>Row 27 - For ‘Transport unit’ if ‘Amount’ is given then ‘Gross / Net’ and ‘Amount unit’ are required</v>
      </c>
      <c r="L1034" t="s">
        <v>1391</v>
      </c>
    </row>
    <row r="1035" spans="7:12" x14ac:dyDescent="0.25">
      <c r="G1035" t="b">
        <f>IF(OR(INDEX(IHZ_HAZ_AMOUNT,28,1)&lt;&gt;"",),IF(OR(INDEX(IHZ_HAZ_NETGROSS,28,1)="",INDEX(IHZ_HAZ_UNIT,28,1)="",),FALSE,TRUE),TRUE)</f>
        <v>1</v>
      </c>
      <c r="H1035" t="str">
        <f t="shared" si="32"/>
        <v>Row 28 - For ‘Transport unit’ if ‘Amount’ is given then ‘Gross / Net’ and ‘Amount unit’ are required</v>
      </c>
      <c r="I1035" t="s">
        <v>1391</v>
      </c>
      <c r="J1035" t="b">
        <f>IF(OR(INDEX(OHZ_HAZ_AMOUNT,28,1)&lt;&gt;"",),IF(OR(INDEX(OHZ_HAZ_NETGROSS,28,1)="",INDEX(OHZ_HAZ_UNIT,28,1)="",),FALSE,TRUE),TRUE)</f>
        <v>1</v>
      </c>
      <c r="K1035" t="str">
        <f t="shared" si="33"/>
        <v>Row 28 - For ‘Transport unit’ if ‘Amount’ is given then ‘Gross / Net’ and ‘Amount unit’ are required</v>
      </c>
      <c r="L1035" t="s">
        <v>1391</v>
      </c>
    </row>
    <row r="1036" spans="7:12" x14ac:dyDescent="0.25">
      <c r="G1036" t="b">
        <f>IF(OR(INDEX(IHZ_HAZ_AMOUNT,29,1)&lt;&gt;"",),IF(OR(INDEX(IHZ_HAZ_NETGROSS,29,1)="",INDEX(IHZ_HAZ_UNIT,29,1)="",),FALSE,TRUE),TRUE)</f>
        <v>1</v>
      </c>
      <c r="H1036" t="str">
        <f t="shared" si="32"/>
        <v>Row 29 - For ‘Transport unit’ if ‘Amount’ is given then ‘Gross / Net’ and ‘Amount unit’ are required</v>
      </c>
      <c r="I1036" t="s">
        <v>1391</v>
      </c>
      <c r="J1036" t="b">
        <f>IF(OR(INDEX(OHZ_HAZ_AMOUNT,29,1)&lt;&gt;"",),IF(OR(INDEX(OHZ_HAZ_NETGROSS,29,1)="",INDEX(OHZ_HAZ_UNIT,29,1)="",),FALSE,TRUE),TRUE)</f>
        <v>1</v>
      </c>
      <c r="K1036" t="str">
        <f t="shared" si="33"/>
        <v>Row 29 - For ‘Transport unit’ if ‘Amount’ is given then ‘Gross / Net’ and ‘Amount unit’ are required</v>
      </c>
      <c r="L1036" t="s">
        <v>1391</v>
      </c>
    </row>
    <row r="1037" spans="7:12" x14ac:dyDescent="0.25">
      <c r="G1037" t="b">
        <f>IF(OR(INDEX(IHZ_HAZ_AMOUNT,30,1)&lt;&gt;"",),IF(OR(INDEX(IHZ_HAZ_NETGROSS,30,1)="",INDEX(IHZ_HAZ_UNIT,30,1)="",),FALSE,TRUE),TRUE)</f>
        <v>1</v>
      </c>
      <c r="H1037" t="str">
        <f t="shared" si="32"/>
        <v>Row 30 - For ‘Transport unit’ if ‘Amount’ is given then ‘Gross / Net’ and ‘Amount unit’ are required</v>
      </c>
      <c r="I1037" t="s">
        <v>1391</v>
      </c>
      <c r="J1037" t="b">
        <f>IF(OR(INDEX(OHZ_HAZ_AMOUNT,30,1)&lt;&gt;"",),IF(OR(INDEX(OHZ_HAZ_NETGROSS,30,1)="",INDEX(OHZ_HAZ_UNIT,30,1)="",),FALSE,TRUE),TRUE)</f>
        <v>1</v>
      </c>
      <c r="K1037" t="str">
        <f t="shared" si="33"/>
        <v>Row 30 - For ‘Transport unit’ if ‘Amount’ is given then ‘Gross / Net’ and ‘Amount unit’ are required</v>
      </c>
      <c r="L1037" t="s">
        <v>1391</v>
      </c>
    </row>
    <row r="1038" spans="7:12" x14ac:dyDescent="0.25">
      <c r="G1038" t="b">
        <f>IF(OR(INDEX(IHZ_HAZ_AMOUNT,31,1)&lt;&gt;"",),IF(OR(INDEX(IHZ_HAZ_NETGROSS,31,1)="",INDEX(IHZ_HAZ_UNIT,31,1)="",),FALSE,TRUE),TRUE)</f>
        <v>1</v>
      </c>
      <c r="H1038" t="str">
        <f t="shared" si="32"/>
        <v>Row 31 - For ‘Transport unit’ if ‘Amount’ is given then ‘Gross / Net’ and ‘Amount unit’ are required</v>
      </c>
      <c r="I1038" t="s">
        <v>1391</v>
      </c>
      <c r="J1038" t="b">
        <f>IF(OR(INDEX(OHZ_HAZ_AMOUNT,31,1)&lt;&gt;"",),IF(OR(INDEX(OHZ_HAZ_NETGROSS,31,1)="",INDEX(OHZ_HAZ_UNIT,31,1)="",),FALSE,TRUE),TRUE)</f>
        <v>1</v>
      </c>
      <c r="K1038" t="str">
        <f t="shared" si="33"/>
        <v>Row 31 - For ‘Transport unit’ if ‘Amount’ is given then ‘Gross / Net’ and ‘Amount unit’ are required</v>
      </c>
      <c r="L1038" t="s">
        <v>1391</v>
      </c>
    </row>
    <row r="1039" spans="7:12" x14ac:dyDescent="0.25">
      <c r="G1039" t="b">
        <f>IF(OR(INDEX(IHZ_HAZ_AMOUNT,32,1)&lt;&gt;"",),IF(OR(INDEX(IHZ_HAZ_NETGROSS,32,1)="",INDEX(IHZ_HAZ_UNIT,32,1)="",),FALSE,TRUE),TRUE)</f>
        <v>1</v>
      </c>
      <c r="H1039" t="str">
        <f t="shared" si="32"/>
        <v>Row 32 - For ‘Transport unit’ if ‘Amount’ is given then ‘Gross / Net’ and ‘Amount unit’ are required</v>
      </c>
      <c r="I1039" t="s">
        <v>1391</v>
      </c>
      <c r="J1039" t="b">
        <f>IF(OR(INDEX(OHZ_HAZ_AMOUNT,32,1)&lt;&gt;"",),IF(OR(INDEX(OHZ_HAZ_NETGROSS,32,1)="",INDEX(OHZ_HAZ_UNIT,32,1)="",),FALSE,TRUE),TRUE)</f>
        <v>1</v>
      </c>
      <c r="K1039" t="str">
        <f t="shared" si="33"/>
        <v>Row 32 - For ‘Transport unit’ if ‘Amount’ is given then ‘Gross / Net’ and ‘Amount unit’ are required</v>
      </c>
      <c r="L1039" t="s">
        <v>1391</v>
      </c>
    </row>
    <row r="1040" spans="7:12" x14ac:dyDescent="0.25">
      <c r="G1040" t="b">
        <f>IF(OR(INDEX(IHZ_HAZ_AMOUNT,33,1)&lt;&gt;"",),IF(OR(INDEX(IHZ_HAZ_NETGROSS,33,1)="",INDEX(IHZ_HAZ_UNIT,33,1)="",),FALSE,TRUE),TRUE)</f>
        <v>1</v>
      </c>
      <c r="H1040" t="str">
        <f t="shared" si="32"/>
        <v>Row 33 - For ‘Transport unit’ if ‘Amount’ is given then ‘Gross / Net’ and ‘Amount unit’ are required</v>
      </c>
      <c r="I1040" t="s">
        <v>1391</v>
      </c>
      <c r="J1040" t="b">
        <f>IF(OR(INDEX(OHZ_HAZ_AMOUNT,33,1)&lt;&gt;"",),IF(OR(INDEX(OHZ_HAZ_NETGROSS,33,1)="",INDEX(OHZ_HAZ_UNIT,33,1)="",),FALSE,TRUE),TRUE)</f>
        <v>1</v>
      </c>
      <c r="K1040" t="str">
        <f t="shared" si="33"/>
        <v>Row 33 - For ‘Transport unit’ if ‘Amount’ is given then ‘Gross / Net’ and ‘Amount unit’ are required</v>
      </c>
      <c r="L1040" t="s">
        <v>1391</v>
      </c>
    </row>
    <row r="1041" spans="7:12" x14ac:dyDescent="0.25">
      <c r="G1041" t="b">
        <f>IF(OR(INDEX(IHZ_HAZ_AMOUNT,34,1)&lt;&gt;"",),IF(OR(INDEX(IHZ_HAZ_NETGROSS,34,1)="",INDEX(IHZ_HAZ_UNIT,34,1)="",),FALSE,TRUE),TRUE)</f>
        <v>1</v>
      </c>
      <c r="H1041" t="str">
        <f t="shared" si="32"/>
        <v>Row 34 - For ‘Transport unit’ if ‘Amount’ is given then ‘Gross / Net’ and ‘Amount unit’ are required</v>
      </c>
      <c r="I1041" t="s">
        <v>1391</v>
      </c>
      <c r="J1041" t="b">
        <f>IF(OR(INDEX(OHZ_HAZ_AMOUNT,34,1)&lt;&gt;"",),IF(OR(INDEX(OHZ_HAZ_NETGROSS,34,1)="",INDEX(OHZ_HAZ_UNIT,34,1)="",),FALSE,TRUE),TRUE)</f>
        <v>1</v>
      </c>
      <c r="K1041" t="str">
        <f t="shared" si="33"/>
        <v>Row 34 - For ‘Transport unit’ if ‘Amount’ is given then ‘Gross / Net’ and ‘Amount unit’ are required</v>
      </c>
      <c r="L1041" t="s">
        <v>1391</v>
      </c>
    </row>
    <row r="1042" spans="7:12" x14ac:dyDescent="0.25">
      <c r="G1042" t="b">
        <f>IF(OR(INDEX(IHZ_HAZ_AMOUNT,35,1)&lt;&gt;"",),IF(OR(INDEX(IHZ_HAZ_NETGROSS,35,1)="",INDEX(IHZ_HAZ_UNIT,35,1)="",),FALSE,TRUE),TRUE)</f>
        <v>1</v>
      </c>
      <c r="H1042" t="str">
        <f t="shared" si="32"/>
        <v>Row 35 - For ‘Transport unit’ if ‘Amount’ is given then ‘Gross / Net’ and ‘Amount unit’ are required</v>
      </c>
      <c r="I1042" t="s">
        <v>1391</v>
      </c>
      <c r="J1042" t="b">
        <f>IF(OR(INDEX(OHZ_HAZ_AMOUNT,35,1)&lt;&gt;"",),IF(OR(INDEX(OHZ_HAZ_NETGROSS,35,1)="",INDEX(OHZ_HAZ_UNIT,35,1)="",),FALSE,TRUE),TRUE)</f>
        <v>1</v>
      </c>
      <c r="K1042" t="str">
        <f t="shared" si="33"/>
        <v>Row 35 - For ‘Transport unit’ if ‘Amount’ is given then ‘Gross / Net’ and ‘Amount unit’ are required</v>
      </c>
      <c r="L1042" t="s">
        <v>1391</v>
      </c>
    </row>
    <row r="1043" spans="7:12" x14ac:dyDescent="0.25">
      <c r="G1043" t="b">
        <f>IF(OR(INDEX(IHZ_HAZ_AMOUNT,36,1)&lt;&gt;"",),IF(OR(INDEX(IHZ_HAZ_NETGROSS,36,1)="",INDEX(IHZ_HAZ_UNIT,36,1)="",),FALSE,TRUE),TRUE)</f>
        <v>1</v>
      </c>
      <c r="H1043" t="str">
        <f t="shared" si="32"/>
        <v>Row 36 - For ‘Transport unit’ if ‘Amount’ is given then ‘Gross / Net’ and ‘Amount unit’ are required</v>
      </c>
      <c r="I1043" t="s">
        <v>1391</v>
      </c>
      <c r="J1043" t="b">
        <f>IF(OR(INDEX(OHZ_HAZ_AMOUNT,36,1)&lt;&gt;"",),IF(OR(INDEX(OHZ_HAZ_NETGROSS,36,1)="",INDEX(OHZ_HAZ_UNIT,36,1)="",),FALSE,TRUE),TRUE)</f>
        <v>1</v>
      </c>
      <c r="K1043" t="str">
        <f t="shared" si="33"/>
        <v>Row 36 - For ‘Transport unit’ if ‘Amount’ is given then ‘Gross / Net’ and ‘Amount unit’ are required</v>
      </c>
      <c r="L1043" t="s">
        <v>1391</v>
      </c>
    </row>
    <row r="1044" spans="7:12" x14ac:dyDescent="0.25">
      <c r="G1044" t="b">
        <f>IF(OR(INDEX(IHZ_HAZ_AMOUNT,37,1)&lt;&gt;"",),IF(OR(INDEX(IHZ_HAZ_NETGROSS,37,1)="",INDEX(IHZ_HAZ_UNIT,37,1)="",),FALSE,TRUE),TRUE)</f>
        <v>1</v>
      </c>
      <c r="H1044" t="str">
        <f t="shared" si="32"/>
        <v>Row 37 - For ‘Transport unit’ if ‘Amount’ is given then ‘Gross / Net’ and ‘Amount unit’ are required</v>
      </c>
      <c r="I1044" t="s">
        <v>1391</v>
      </c>
      <c r="J1044" t="b">
        <f>IF(OR(INDEX(OHZ_HAZ_AMOUNT,37,1)&lt;&gt;"",),IF(OR(INDEX(OHZ_HAZ_NETGROSS,37,1)="",INDEX(OHZ_HAZ_UNIT,37,1)="",),FALSE,TRUE),TRUE)</f>
        <v>1</v>
      </c>
      <c r="K1044" t="str">
        <f t="shared" si="33"/>
        <v>Row 37 - For ‘Transport unit’ if ‘Amount’ is given then ‘Gross / Net’ and ‘Amount unit’ are required</v>
      </c>
      <c r="L1044" t="s">
        <v>1391</v>
      </c>
    </row>
    <row r="1045" spans="7:12" x14ac:dyDescent="0.25">
      <c r="G1045" t="b">
        <f>IF(OR(INDEX(IHZ_HAZ_AMOUNT,38,1)&lt;&gt;"",),IF(OR(INDEX(IHZ_HAZ_NETGROSS,38,1)="",INDEX(IHZ_HAZ_UNIT,38,1)="",),FALSE,TRUE),TRUE)</f>
        <v>1</v>
      </c>
      <c r="H1045" t="str">
        <f t="shared" si="32"/>
        <v>Row 38 - For ‘Transport unit’ if ‘Amount’ is given then ‘Gross / Net’ and ‘Amount unit’ are required</v>
      </c>
      <c r="I1045" t="s">
        <v>1391</v>
      </c>
      <c r="J1045" t="b">
        <f>IF(OR(INDEX(OHZ_HAZ_AMOUNT,38,1)&lt;&gt;"",),IF(OR(INDEX(OHZ_HAZ_NETGROSS,38,1)="",INDEX(OHZ_HAZ_UNIT,38,1)="",),FALSE,TRUE),TRUE)</f>
        <v>1</v>
      </c>
      <c r="K1045" t="str">
        <f t="shared" si="33"/>
        <v>Row 38 - For ‘Transport unit’ if ‘Amount’ is given then ‘Gross / Net’ and ‘Amount unit’ are required</v>
      </c>
      <c r="L1045" t="s">
        <v>1391</v>
      </c>
    </row>
    <row r="1046" spans="7:12" x14ac:dyDescent="0.25">
      <c r="G1046" t="b">
        <f>IF(OR(INDEX(IHZ_HAZ_AMOUNT,39,1)&lt;&gt;"",),IF(OR(INDEX(IHZ_HAZ_NETGROSS,39,1)="",INDEX(IHZ_HAZ_UNIT,39,1)="",),FALSE,TRUE),TRUE)</f>
        <v>1</v>
      </c>
      <c r="H1046" t="str">
        <f t="shared" si="32"/>
        <v>Row 39 - For ‘Transport unit’ if ‘Amount’ is given then ‘Gross / Net’ and ‘Amount unit’ are required</v>
      </c>
      <c r="I1046" t="s">
        <v>1391</v>
      </c>
      <c r="J1046" t="b">
        <f>IF(OR(INDEX(OHZ_HAZ_AMOUNT,39,1)&lt;&gt;"",),IF(OR(INDEX(OHZ_HAZ_NETGROSS,39,1)="",INDEX(OHZ_HAZ_UNIT,39,1)="",),FALSE,TRUE),TRUE)</f>
        <v>1</v>
      </c>
      <c r="K1046" t="str">
        <f t="shared" si="33"/>
        <v>Row 39 - For ‘Transport unit’ if ‘Amount’ is given then ‘Gross / Net’ and ‘Amount unit’ are required</v>
      </c>
      <c r="L1046" t="s">
        <v>1391</v>
      </c>
    </row>
    <row r="1047" spans="7:12" x14ac:dyDescent="0.25">
      <c r="G1047" t="b">
        <f>IF(OR(INDEX(IHZ_HAZ_AMOUNT,40,1)&lt;&gt;"",),IF(OR(INDEX(IHZ_HAZ_NETGROSS,40,1)="",INDEX(IHZ_HAZ_UNIT,40,1)="",),FALSE,TRUE),TRUE)</f>
        <v>1</v>
      </c>
      <c r="H1047" t="str">
        <f t="shared" si="32"/>
        <v>Row 40 - For ‘Transport unit’ if ‘Amount’ is given then ‘Gross / Net’ and ‘Amount unit’ are required</v>
      </c>
      <c r="I1047" t="s">
        <v>1391</v>
      </c>
      <c r="J1047" t="b">
        <f>IF(OR(INDEX(OHZ_HAZ_AMOUNT,40,1)&lt;&gt;"",),IF(OR(INDEX(OHZ_HAZ_NETGROSS,40,1)="",INDEX(OHZ_HAZ_UNIT,40,1)="",),FALSE,TRUE),TRUE)</f>
        <v>1</v>
      </c>
      <c r="K1047" t="str">
        <f t="shared" si="33"/>
        <v>Row 40 - For ‘Transport unit’ if ‘Amount’ is given then ‘Gross / Net’ and ‘Amount unit’ are required</v>
      </c>
      <c r="L1047" t="s">
        <v>1391</v>
      </c>
    </row>
    <row r="1048" spans="7:12" x14ac:dyDescent="0.25">
      <c r="G1048" t="b">
        <f>IF(OR(INDEX(IHZ_HAZ_AMOUNT,41,1)&lt;&gt;"",),IF(OR(INDEX(IHZ_HAZ_NETGROSS,41,1)="",INDEX(IHZ_HAZ_UNIT,41,1)="",),FALSE,TRUE),TRUE)</f>
        <v>1</v>
      </c>
      <c r="H1048" t="str">
        <f t="shared" si="32"/>
        <v>Row 41 - For ‘Transport unit’ if ‘Amount’ is given then ‘Gross / Net’ and ‘Amount unit’ are required</v>
      </c>
      <c r="I1048" t="s">
        <v>1391</v>
      </c>
      <c r="J1048" t="b">
        <f>IF(OR(INDEX(OHZ_HAZ_AMOUNT,41,1)&lt;&gt;"",),IF(OR(INDEX(OHZ_HAZ_NETGROSS,41,1)="",INDEX(OHZ_HAZ_UNIT,41,1)="",),FALSE,TRUE),TRUE)</f>
        <v>1</v>
      </c>
      <c r="K1048" t="str">
        <f t="shared" si="33"/>
        <v>Row 41 - For ‘Transport unit’ if ‘Amount’ is given then ‘Gross / Net’ and ‘Amount unit’ are required</v>
      </c>
      <c r="L1048" t="s">
        <v>1391</v>
      </c>
    </row>
    <row r="1049" spans="7:12" x14ac:dyDescent="0.25">
      <c r="G1049" t="b">
        <f>IF(OR(INDEX(IHZ_HAZ_AMOUNT,42,1)&lt;&gt;"",),IF(OR(INDEX(IHZ_HAZ_NETGROSS,42,1)="",INDEX(IHZ_HAZ_UNIT,42,1)="",),FALSE,TRUE),TRUE)</f>
        <v>1</v>
      </c>
      <c r="H1049" t="str">
        <f t="shared" si="32"/>
        <v>Row 42 - For ‘Transport unit’ if ‘Amount’ is given then ‘Gross / Net’ and ‘Amount unit’ are required</v>
      </c>
      <c r="I1049" t="s">
        <v>1391</v>
      </c>
      <c r="J1049" t="b">
        <f>IF(OR(INDEX(OHZ_HAZ_AMOUNT,42,1)&lt;&gt;"",),IF(OR(INDEX(OHZ_HAZ_NETGROSS,42,1)="",INDEX(OHZ_HAZ_UNIT,42,1)="",),FALSE,TRUE),TRUE)</f>
        <v>1</v>
      </c>
      <c r="K1049" t="str">
        <f t="shared" si="33"/>
        <v>Row 42 - For ‘Transport unit’ if ‘Amount’ is given then ‘Gross / Net’ and ‘Amount unit’ are required</v>
      </c>
      <c r="L1049" t="s">
        <v>1391</v>
      </c>
    </row>
    <row r="1050" spans="7:12" x14ac:dyDescent="0.25">
      <c r="G1050" t="b">
        <f>IF(OR(INDEX(IHZ_HAZ_AMOUNT,43,1)&lt;&gt;"",),IF(OR(INDEX(IHZ_HAZ_NETGROSS,43,1)="",INDEX(IHZ_HAZ_UNIT,43,1)="",),FALSE,TRUE),TRUE)</f>
        <v>1</v>
      </c>
      <c r="H1050" t="str">
        <f t="shared" si="32"/>
        <v>Row 43 - For ‘Transport unit’ if ‘Amount’ is given then ‘Gross / Net’ and ‘Amount unit’ are required</v>
      </c>
      <c r="I1050" t="s">
        <v>1391</v>
      </c>
      <c r="J1050" t="b">
        <f>IF(OR(INDEX(OHZ_HAZ_AMOUNT,43,1)&lt;&gt;"",),IF(OR(INDEX(OHZ_HAZ_NETGROSS,43,1)="",INDEX(OHZ_HAZ_UNIT,43,1)="",),FALSE,TRUE),TRUE)</f>
        <v>1</v>
      </c>
      <c r="K1050" t="str">
        <f t="shared" si="33"/>
        <v>Row 43 - For ‘Transport unit’ if ‘Amount’ is given then ‘Gross / Net’ and ‘Amount unit’ are required</v>
      </c>
      <c r="L1050" t="s">
        <v>1391</v>
      </c>
    </row>
    <row r="1051" spans="7:12" x14ac:dyDescent="0.25">
      <c r="G1051" t="b">
        <f>IF(OR(INDEX(IHZ_HAZ_AMOUNT,44,1)&lt;&gt;"",),IF(OR(INDEX(IHZ_HAZ_NETGROSS,44,1)="",INDEX(IHZ_HAZ_UNIT,44,1)="",),FALSE,TRUE),TRUE)</f>
        <v>1</v>
      </c>
      <c r="H1051" t="str">
        <f t="shared" si="32"/>
        <v>Row 44 - For ‘Transport unit’ if ‘Amount’ is given then ‘Gross / Net’ and ‘Amount unit’ are required</v>
      </c>
      <c r="I1051" t="s">
        <v>1391</v>
      </c>
      <c r="J1051" t="b">
        <f>IF(OR(INDEX(OHZ_HAZ_AMOUNT,44,1)&lt;&gt;"",),IF(OR(INDEX(OHZ_HAZ_NETGROSS,44,1)="",INDEX(OHZ_HAZ_UNIT,44,1)="",),FALSE,TRUE),TRUE)</f>
        <v>1</v>
      </c>
      <c r="K1051" t="str">
        <f t="shared" si="33"/>
        <v>Row 44 - For ‘Transport unit’ if ‘Amount’ is given then ‘Gross / Net’ and ‘Amount unit’ are required</v>
      </c>
      <c r="L1051" t="s">
        <v>1391</v>
      </c>
    </row>
    <row r="1052" spans="7:12" x14ac:dyDescent="0.25">
      <c r="G1052" t="b">
        <f>IF(OR(INDEX(IHZ_HAZ_AMOUNT,45,1)&lt;&gt;"",),IF(OR(INDEX(IHZ_HAZ_NETGROSS,45,1)="",INDEX(IHZ_HAZ_UNIT,45,1)="",),FALSE,TRUE),TRUE)</f>
        <v>1</v>
      </c>
      <c r="H1052" t="str">
        <f t="shared" si="32"/>
        <v>Row 45 - For ‘Transport unit’ if ‘Amount’ is given then ‘Gross / Net’ and ‘Amount unit’ are required</v>
      </c>
      <c r="I1052" t="s">
        <v>1391</v>
      </c>
      <c r="J1052" t="b">
        <f>IF(OR(INDEX(OHZ_HAZ_AMOUNT,45,1)&lt;&gt;"",),IF(OR(INDEX(OHZ_HAZ_NETGROSS,45,1)="",INDEX(OHZ_HAZ_UNIT,45,1)="",),FALSE,TRUE),TRUE)</f>
        <v>1</v>
      </c>
      <c r="K1052" t="str">
        <f t="shared" si="33"/>
        <v>Row 45 - For ‘Transport unit’ if ‘Amount’ is given then ‘Gross / Net’ and ‘Amount unit’ are required</v>
      </c>
      <c r="L1052" t="s">
        <v>1391</v>
      </c>
    </row>
    <row r="1053" spans="7:12" x14ac:dyDescent="0.25">
      <c r="G1053" t="b">
        <f>IF(OR(INDEX(IHZ_HAZ_AMOUNT,46,1)&lt;&gt;"",),IF(OR(INDEX(IHZ_HAZ_NETGROSS,46,1)="",INDEX(IHZ_HAZ_UNIT,46,1)="",),FALSE,TRUE),TRUE)</f>
        <v>1</v>
      </c>
      <c r="H1053" t="str">
        <f t="shared" si="32"/>
        <v>Row 46 - For ‘Transport unit’ if ‘Amount’ is given then ‘Gross / Net’ and ‘Amount unit’ are required</v>
      </c>
      <c r="I1053" t="s">
        <v>1391</v>
      </c>
      <c r="J1053" t="b">
        <f>IF(OR(INDEX(OHZ_HAZ_AMOUNT,46,1)&lt;&gt;"",),IF(OR(INDEX(OHZ_HAZ_NETGROSS,46,1)="",INDEX(OHZ_HAZ_UNIT,46,1)="",),FALSE,TRUE),TRUE)</f>
        <v>1</v>
      </c>
      <c r="K1053" t="str">
        <f t="shared" si="33"/>
        <v>Row 46 - For ‘Transport unit’ if ‘Amount’ is given then ‘Gross / Net’ and ‘Amount unit’ are required</v>
      </c>
      <c r="L1053" t="s">
        <v>1391</v>
      </c>
    </row>
    <row r="1054" spans="7:12" x14ac:dyDescent="0.25">
      <c r="G1054" t="b">
        <f>IF(OR(INDEX(IHZ_HAZ_AMOUNT,47,1)&lt;&gt;"",),IF(OR(INDEX(IHZ_HAZ_NETGROSS,47,1)="",INDEX(IHZ_HAZ_UNIT,47,1)="",),FALSE,TRUE),TRUE)</f>
        <v>1</v>
      </c>
      <c r="H1054" t="str">
        <f t="shared" si="32"/>
        <v>Row 47 - For ‘Transport unit’ if ‘Amount’ is given then ‘Gross / Net’ and ‘Amount unit’ are required</v>
      </c>
      <c r="I1054" t="s">
        <v>1391</v>
      </c>
      <c r="J1054" t="b">
        <f>IF(OR(INDEX(OHZ_HAZ_AMOUNT,47,1)&lt;&gt;"",),IF(OR(INDEX(OHZ_HAZ_NETGROSS,47,1)="",INDEX(OHZ_HAZ_UNIT,47,1)="",),FALSE,TRUE),TRUE)</f>
        <v>1</v>
      </c>
      <c r="K1054" t="str">
        <f t="shared" si="33"/>
        <v>Row 47 - For ‘Transport unit’ if ‘Amount’ is given then ‘Gross / Net’ and ‘Amount unit’ are required</v>
      </c>
      <c r="L1054" t="s">
        <v>1391</v>
      </c>
    </row>
    <row r="1055" spans="7:12" x14ac:dyDescent="0.25">
      <c r="G1055" t="b">
        <f>IF(OR(INDEX(IHZ_HAZ_AMOUNT,48,1)&lt;&gt;"",),IF(OR(INDEX(IHZ_HAZ_NETGROSS,48,1)="",INDEX(IHZ_HAZ_UNIT,48,1)="",),FALSE,TRUE),TRUE)</f>
        <v>1</v>
      </c>
      <c r="H1055" t="str">
        <f t="shared" si="32"/>
        <v>Row 48 - For ‘Transport unit’ if ‘Amount’ is given then ‘Gross / Net’ and ‘Amount unit’ are required</v>
      </c>
      <c r="I1055" t="s">
        <v>1391</v>
      </c>
      <c r="J1055" t="b">
        <f>IF(OR(INDEX(OHZ_HAZ_AMOUNT,48,1)&lt;&gt;"",),IF(OR(INDEX(OHZ_HAZ_NETGROSS,48,1)="",INDEX(OHZ_HAZ_UNIT,48,1)="",),FALSE,TRUE),TRUE)</f>
        <v>1</v>
      </c>
      <c r="K1055" t="str">
        <f t="shared" si="33"/>
        <v>Row 48 - For ‘Transport unit’ if ‘Amount’ is given then ‘Gross / Net’ and ‘Amount unit’ are required</v>
      </c>
      <c r="L1055" t="s">
        <v>1391</v>
      </c>
    </row>
    <row r="1056" spans="7:12" x14ac:dyDescent="0.25">
      <c r="G1056" t="b">
        <f>IF(OR(INDEX(IHZ_HAZ_AMOUNT,49,1)&lt;&gt;"",),IF(OR(INDEX(IHZ_HAZ_NETGROSS,49,1)="",INDEX(IHZ_HAZ_UNIT,49,1)="",),FALSE,TRUE),TRUE)</f>
        <v>1</v>
      </c>
      <c r="H1056" t="str">
        <f t="shared" si="32"/>
        <v>Row 49 - For ‘Transport unit’ if ‘Amount’ is given then ‘Gross / Net’ and ‘Amount unit’ are required</v>
      </c>
      <c r="I1056" t="s">
        <v>1391</v>
      </c>
      <c r="J1056" t="b">
        <f>IF(OR(INDEX(OHZ_HAZ_AMOUNT,49,1)&lt;&gt;"",),IF(OR(INDEX(OHZ_HAZ_NETGROSS,49,1)="",INDEX(OHZ_HAZ_UNIT,49,1)="",),FALSE,TRUE),TRUE)</f>
        <v>1</v>
      </c>
      <c r="K1056" t="str">
        <f t="shared" si="33"/>
        <v>Row 49 - For ‘Transport unit’ if ‘Amount’ is given then ‘Gross / Net’ and ‘Amount unit’ are required</v>
      </c>
      <c r="L1056" t="s">
        <v>1391</v>
      </c>
    </row>
    <row r="1057" spans="7:12" x14ac:dyDescent="0.25">
      <c r="G1057" t="b">
        <f>IF(OR(INDEX(IHZ_HAZ_AMOUNT,50,1)&lt;&gt;"",),IF(OR(INDEX(IHZ_HAZ_NETGROSS,50,1)="",INDEX(IHZ_HAZ_UNIT,50,1)="",),FALSE,TRUE),TRUE)</f>
        <v>1</v>
      </c>
      <c r="H1057" t="str">
        <f t="shared" si="32"/>
        <v>Row 50 - For ‘Transport unit’ if ‘Amount’ is given then ‘Gross / Net’ and ‘Amount unit’ are required</v>
      </c>
      <c r="I1057" t="s">
        <v>1391</v>
      </c>
      <c r="J1057" t="b">
        <f>IF(OR(INDEX(OHZ_HAZ_AMOUNT,50,1)&lt;&gt;"",),IF(OR(INDEX(OHZ_HAZ_NETGROSS,50,1)="",INDEX(OHZ_HAZ_UNIT,50,1)="",),FALSE,TRUE),TRUE)</f>
        <v>1</v>
      </c>
      <c r="K1057" t="str">
        <f t="shared" si="33"/>
        <v>Row 50 - For ‘Transport unit’ if ‘Amount’ is given then ‘Gross / Net’ and ‘Amount unit’ are required</v>
      </c>
      <c r="L1057" t="s">
        <v>1391</v>
      </c>
    </row>
    <row r="1058" spans="7:12" x14ac:dyDescent="0.25">
      <c r="G1058" t="b">
        <f>IF(OR(INDEX(IHZ_HAZ_AMOUNT,51,1)&lt;&gt;"",),IF(OR(INDEX(IHZ_HAZ_NETGROSS,51,1)="",INDEX(IHZ_HAZ_UNIT,51,1)="",),FALSE,TRUE),TRUE)</f>
        <v>1</v>
      </c>
      <c r="H1058" t="str">
        <f t="shared" si="32"/>
        <v>Row 51 - For ‘Transport unit’ if ‘Amount’ is given then ‘Gross / Net’ and ‘Amount unit’ are required</v>
      </c>
      <c r="I1058" t="s">
        <v>1391</v>
      </c>
      <c r="J1058" t="b">
        <f>IF(OR(INDEX(OHZ_HAZ_AMOUNT,51,1)&lt;&gt;"",),IF(OR(INDEX(OHZ_HAZ_NETGROSS,51,1)="",INDEX(OHZ_HAZ_UNIT,51,1)="",),FALSE,TRUE),TRUE)</f>
        <v>1</v>
      </c>
      <c r="K1058" t="str">
        <f t="shared" si="33"/>
        <v>Row 51 - For ‘Transport unit’ if ‘Amount’ is given then ‘Gross / Net’ and ‘Amount unit’ are required</v>
      </c>
      <c r="L1058" t="s">
        <v>1391</v>
      </c>
    </row>
    <row r="1059" spans="7:12" x14ac:dyDescent="0.25">
      <c r="G1059" t="b">
        <f>IF(OR(INDEX(IHZ_HAZ_AMOUNT,52,1)&lt;&gt;"",),IF(OR(INDEX(IHZ_HAZ_NETGROSS,52,1)="",INDEX(IHZ_HAZ_UNIT,52,1)="",),FALSE,TRUE),TRUE)</f>
        <v>1</v>
      </c>
      <c r="H1059" t="str">
        <f t="shared" si="32"/>
        <v>Row 52 - For ‘Transport unit’ if ‘Amount’ is given then ‘Gross / Net’ and ‘Amount unit’ are required</v>
      </c>
      <c r="I1059" t="s">
        <v>1391</v>
      </c>
      <c r="J1059" t="b">
        <f>IF(OR(INDEX(OHZ_HAZ_AMOUNT,52,1)&lt;&gt;"",),IF(OR(INDEX(OHZ_HAZ_NETGROSS,52,1)="",INDEX(OHZ_HAZ_UNIT,52,1)="",),FALSE,TRUE),TRUE)</f>
        <v>1</v>
      </c>
      <c r="K1059" t="str">
        <f t="shared" si="33"/>
        <v>Row 52 - For ‘Transport unit’ if ‘Amount’ is given then ‘Gross / Net’ and ‘Amount unit’ are required</v>
      </c>
      <c r="L1059" t="s">
        <v>1391</v>
      </c>
    </row>
    <row r="1060" spans="7:12" x14ac:dyDescent="0.25">
      <c r="G1060" t="b">
        <f>IF(OR(INDEX(IHZ_HAZ_AMOUNT,53,1)&lt;&gt;"",),IF(OR(INDEX(IHZ_HAZ_NETGROSS,53,1)="",INDEX(IHZ_HAZ_UNIT,53,1)="",),FALSE,TRUE),TRUE)</f>
        <v>1</v>
      </c>
      <c r="H1060" t="str">
        <f t="shared" si="32"/>
        <v>Row 53 - For ‘Transport unit’ if ‘Amount’ is given then ‘Gross / Net’ and ‘Amount unit’ are required</v>
      </c>
      <c r="I1060" t="s">
        <v>1391</v>
      </c>
      <c r="J1060" t="b">
        <f>IF(OR(INDEX(OHZ_HAZ_AMOUNT,53,1)&lt;&gt;"",),IF(OR(INDEX(OHZ_HAZ_NETGROSS,53,1)="",INDEX(OHZ_HAZ_UNIT,53,1)="",),FALSE,TRUE),TRUE)</f>
        <v>1</v>
      </c>
      <c r="K1060" t="str">
        <f t="shared" si="33"/>
        <v>Row 53 - For ‘Transport unit’ if ‘Amount’ is given then ‘Gross / Net’ and ‘Amount unit’ are required</v>
      </c>
      <c r="L1060" t="s">
        <v>1391</v>
      </c>
    </row>
    <row r="1061" spans="7:12" x14ac:dyDescent="0.25">
      <c r="G1061" t="b">
        <f>IF(OR(INDEX(IHZ_HAZ_AMOUNT,54,1)&lt;&gt;"",),IF(OR(INDEX(IHZ_HAZ_NETGROSS,54,1)="",INDEX(IHZ_HAZ_UNIT,54,1)="",),FALSE,TRUE),TRUE)</f>
        <v>1</v>
      </c>
      <c r="H1061" t="str">
        <f t="shared" si="32"/>
        <v>Row 54 - For ‘Transport unit’ if ‘Amount’ is given then ‘Gross / Net’ and ‘Amount unit’ are required</v>
      </c>
      <c r="I1061" t="s">
        <v>1391</v>
      </c>
      <c r="J1061" t="b">
        <f>IF(OR(INDEX(OHZ_HAZ_AMOUNT,54,1)&lt;&gt;"",),IF(OR(INDEX(OHZ_HAZ_NETGROSS,54,1)="",INDEX(OHZ_HAZ_UNIT,54,1)="",),FALSE,TRUE),TRUE)</f>
        <v>1</v>
      </c>
      <c r="K1061" t="str">
        <f t="shared" si="33"/>
        <v>Row 54 - For ‘Transport unit’ if ‘Amount’ is given then ‘Gross / Net’ and ‘Amount unit’ are required</v>
      </c>
      <c r="L1061" t="s">
        <v>1391</v>
      </c>
    </row>
    <row r="1062" spans="7:12" x14ac:dyDescent="0.25">
      <c r="G1062" t="b">
        <f>IF(OR(INDEX(IHZ_HAZ_AMOUNT,55,1)&lt;&gt;"",),IF(OR(INDEX(IHZ_HAZ_NETGROSS,55,1)="",INDEX(IHZ_HAZ_UNIT,55,1)="",),FALSE,TRUE),TRUE)</f>
        <v>1</v>
      </c>
      <c r="H1062" t="str">
        <f t="shared" si="32"/>
        <v>Row 55 - For ‘Transport unit’ if ‘Amount’ is given then ‘Gross / Net’ and ‘Amount unit’ are required</v>
      </c>
      <c r="I1062" t="s">
        <v>1391</v>
      </c>
      <c r="J1062" t="b">
        <f>IF(OR(INDEX(OHZ_HAZ_AMOUNT,55,1)&lt;&gt;"",),IF(OR(INDEX(OHZ_HAZ_NETGROSS,55,1)="",INDEX(OHZ_HAZ_UNIT,55,1)="",),FALSE,TRUE),TRUE)</f>
        <v>1</v>
      </c>
      <c r="K1062" t="str">
        <f t="shared" si="33"/>
        <v>Row 55 - For ‘Transport unit’ if ‘Amount’ is given then ‘Gross / Net’ and ‘Amount unit’ are required</v>
      </c>
      <c r="L1062" t="s">
        <v>1391</v>
      </c>
    </row>
    <row r="1063" spans="7:12" x14ac:dyDescent="0.25">
      <c r="G1063" t="b">
        <f>IF(OR(INDEX(IHZ_HAZ_AMOUNT,56,1)&lt;&gt;"",),IF(OR(INDEX(IHZ_HAZ_NETGROSS,56,1)="",INDEX(IHZ_HAZ_UNIT,56,1)="",),FALSE,TRUE),TRUE)</f>
        <v>1</v>
      </c>
      <c r="H1063" t="str">
        <f t="shared" si="32"/>
        <v>Row 56 - For ‘Transport unit’ if ‘Amount’ is given then ‘Gross / Net’ and ‘Amount unit’ are required</v>
      </c>
      <c r="I1063" t="s">
        <v>1391</v>
      </c>
      <c r="J1063" t="b">
        <f>IF(OR(INDEX(OHZ_HAZ_AMOUNT,56,1)&lt;&gt;"",),IF(OR(INDEX(OHZ_HAZ_NETGROSS,56,1)="",INDEX(OHZ_HAZ_UNIT,56,1)="",),FALSE,TRUE),TRUE)</f>
        <v>1</v>
      </c>
      <c r="K1063" t="str">
        <f t="shared" si="33"/>
        <v>Row 56 - For ‘Transport unit’ if ‘Amount’ is given then ‘Gross / Net’ and ‘Amount unit’ are required</v>
      </c>
      <c r="L1063" t="s">
        <v>1391</v>
      </c>
    </row>
    <row r="1064" spans="7:12" x14ac:dyDescent="0.25">
      <c r="G1064" t="b">
        <f>IF(OR(INDEX(IHZ_HAZ_AMOUNT,57,1)&lt;&gt;"",),IF(OR(INDEX(IHZ_HAZ_NETGROSS,57,1)="",INDEX(IHZ_HAZ_UNIT,57,1)="",),FALSE,TRUE),TRUE)</f>
        <v>1</v>
      </c>
      <c r="H1064" t="str">
        <f t="shared" si="32"/>
        <v>Row 57 - For ‘Transport unit’ if ‘Amount’ is given then ‘Gross / Net’ and ‘Amount unit’ are required</v>
      </c>
      <c r="I1064" t="s">
        <v>1391</v>
      </c>
      <c r="J1064" t="b">
        <f>IF(OR(INDEX(OHZ_HAZ_AMOUNT,57,1)&lt;&gt;"",),IF(OR(INDEX(OHZ_HAZ_NETGROSS,57,1)="",INDEX(OHZ_HAZ_UNIT,57,1)="",),FALSE,TRUE),TRUE)</f>
        <v>1</v>
      </c>
      <c r="K1064" t="str">
        <f t="shared" si="33"/>
        <v>Row 57 - For ‘Transport unit’ if ‘Amount’ is given then ‘Gross / Net’ and ‘Amount unit’ are required</v>
      </c>
      <c r="L1064" t="s">
        <v>1391</v>
      </c>
    </row>
    <row r="1065" spans="7:12" x14ac:dyDescent="0.25">
      <c r="G1065" t="b">
        <f>IF(OR(INDEX(IHZ_HAZ_AMOUNT,58,1)&lt;&gt;"",),IF(OR(INDEX(IHZ_HAZ_NETGROSS,58,1)="",INDEX(IHZ_HAZ_UNIT,58,1)="",),FALSE,TRUE),TRUE)</f>
        <v>1</v>
      </c>
      <c r="H1065" t="str">
        <f t="shared" si="32"/>
        <v>Row 58 - For ‘Transport unit’ if ‘Amount’ is given then ‘Gross / Net’ and ‘Amount unit’ are required</v>
      </c>
      <c r="I1065" t="s">
        <v>1391</v>
      </c>
      <c r="J1065" t="b">
        <f>IF(OR(INDEX(OHZ_HAZ_AMOUNT,58,1)&lt;&gt;"",),IF(OR(INDEX(OHZ_HAZ_NETGROSS,58,1)="",INDEX(OHZ_HAZ_UNIT,58,1)="",),FALSE,TRUE),TRUE)</f>
        <v>1</v>
      </c>
      <c r="K1065" t="str">
        <f t="shared" si="33"/>
        <v>Row 58 - For ‘Transport unit’ if ‘Amount’ is given then ‘Gross / Net’ and ‘Amount unit’ are required</v>
      </c>
      <c r="L1065" t="s">
        <v>1391</v>
      </c>
    </row>
    <row r="1066" spans="7:12" x14ac:dyDescent="0.25">
      <c r="G1066" t="b">
        <f>IF(OR(INDEX(IHZ_HAZ_AMOUNT,59,1)&lt;&gt;"",),IF(OR(INDEX(IHZ_HAZ_NETGROSS,59,1)="",INDEX(IHZ_HAZ_UNIT,59,1)="",),FALSE,TRUE),TRUE)</f>
        <v>1</v>
      </c>
      <c r="H1066" t="str">
        <f t="shared" si="32"/>
        <v>Row 59 - For ‘Transport unit’ if ‘Amount’ is given then ‘Gross / Net’ and ‘Amount unit’ are required</v>
      </c>
      <c r="I1066" t="s">
        <v>1391</v>
      </c>
      <c r="J1066" t="b">
        <f>IF(OR(INDEX(OHZ_HAZ_AMOUNT,59,1)&lt;&gt;"",),IF(OR(INDEX(OHZ_HAZ_NETGROSS,59,1)="",INDEX(OHZ_HAZ_UNIT,59,1)="",),FALSE,TRUE),TRUE)</f>
        <v>1</v>
      </c>
      <c r="K1066" t="str">
        <f t="shared" si="33"/>
        <v>Row 59 - For ‘Transport unit’ if ‘Amount’ is given then ‘Gross / Net’ and ‘Amount unit’ are required</v>
      </c>
      <c r="L1066" t="s">
        <v>1391</v>
      </c>
    </row>
    <row r="1067" spans="7:12" x14ac:dyDescent="0.25">
      <c r="G1067" t="b">
        <f>IF(OR(INDEX(IHZ_HAZ_AMOUNT,60,1)&lt;&gt;"",),IF(OR(INDEX(IHZ_HAZ_NETGROSS,60,1)="",INDEX(IHZ_HAZ_UNIT,60,1)="",),FALSE,TRUE),TRUE)</f>
        <v>1</v>
      </c>
      <c r="H1067" t="str">
        <f t="shared" si="32"/>
        <v>Row 60 - For ‘Transport unit’ if ‘Amount’ is given then ‘Gross / Net’ and ‘Amount unit’ are required</v>
      </c>
      <c r="I1067" t="s">
        <v>1391</v>
      </c>
      <c r="J1067" t="b">
        <f>IF(OR(INDEX(OHZ_HAZ_AMOUNT,60,1)&lt;&gt;"",),IF(OR(INDEX(OHZ_HAZ_NETGROSS,60,1)="",INDEX(OHZ_HAZ_UNIT,60,1)="",),FALSE,TRUE),TRUE)</f>
        <v>1</v>
      </c>
      <c r="K1067" t="str">
        <f t="shared" si="33"/>
        <v>Row 60 - For ‘Transport unit’ if ‘Amount’ is given then ‘Gross / Net’ and ‘Amount unit’ are required</v>
      </c>
      <c r="L1067" t="s">
        <v>1391</v>
      </c>
    </row>
    <row r="1068" spans="7:12" x14ac:dyDescent="0.25">
      <c r="G1068" t="b">
        <f>IF(OR(INDEX(IHZ_HAZ_AMOUNT,61,1)&lt;&gt;"",),IF(OR(INDEX(IHZ_HAZ_NETGROSS,61,1)="",INDEX(IHZ_HAZ_UNIT,61,1)="",),FALSE,TRUE),TRUE)</f>
        <v>1</v>
      </c>
      <c r="H1068" t="str">
        <f t="shared" si="32"/>
        <v>Row 61 - For ‘Transport unit’ if ‘Amount’ is given then ‘Gross / Net’ and ‘Amount unit’ are required</v>
      </c>
      <c r="I1068" t="s">
        <v>1391</v>
      </c>
      <c r="J1068" t="b">
        <f>IF(OR(INDEX(OHZ_HAZ_AMOUNT,61,1)&lt;&gt;"",),IF(OR(INDEX(OHZ_HAZ_NETGROSS,61,1)="",INDEX(OHZ_HAZ_UNIT,61,1)="",),FALSE,TRUE),TRUE)</f>
        <v>1</v>
      </c>
      <c r="K1068" t="str">
        <f t="shared" si="33"/>
        <v>Row 61 - For ‘Transport unit’ if ‘Amount’ is given then ‘Gross / Net’ and ‘Amount unit’ are required</v>
      </c>
      <c r="L1068" t="s">
        <v>1391</v>
      </c>
    </row>
    <row r="1069" spans="7:12" x14ac:dyDescent="0.25">
      <c r="G1069" t="b">
        <f>IF(OR(INDEX(IHZ_HAZ_AMOUNT,62,1)&lt;&gt;"",),IF(OR(INDEX(IHZ_HAZ_NETGROSS,62,1)="",INDEX(IHZ_HAZ_UNIT,62,1)="",),FALSE,TRUE),TRUE)</f>
        <v>1</v>
      </c>
      <c r="H1069" t="str">
        <f t="shared" si="32"/>
        <v>Row 62 - For ‘Transport unit’ if ‘Amount’ is given then ‘Gross / Net’ and ‘Amount unit’ are required</v>
      </c>
      <c r="I1069" t="s">
        <v>1391</v>
      </c>
      <c r="J1069" t="b">
        <f>IF(OR(INDEX(OHZ_HAZ_AMOUNT,62,1)&lt;&gt;"",),IF(OR(INDEX(OHZ_HAZ_NETGROSS,62,1)="",INDEX(OHZ_HAZ_UNIT,62,1)="",),FALSE,TRUE),TRUE)</f>
        <v>1</v>
      </c>
      <c r="K1069" t="str">
        <f t="shared" si="33"/>
        <v>Row 62 - For ‘Transport unit’ if ‘Amount’ is given then ‘Gross / Net’ and ‘Amount unit’ are required</v>
      </c>
      <c r="L1069" t="s">
        <v>1391</v>
      </c>
    </row>
    <row r="1070" spans="7:12" x14ac:dyDescent="0.25">
      <c r="G1070" t="b">
        <f>IF(OR(INDEX(IHZ_HAZ_AMOUNT,63,1)&lt;&gt;"",),IF(OR(INDEX(IHZ_HAZ_NETGROSS,63,1)="",INDEX(IHZ_HAZ_UNIT,63,1)="",),FALSE,TRUE),TRUE)</f>
        <v>1</v>
      </c>
      <c r="H1070" t="str">
        <f t="shared" si="32"/>
        <v>Row 63 - For ‘Transport unit’ if ‘Amount’ is given then ‘Gross / Net’ and ‘Amount unit’ are required</v>
      </c>
      <c r="I1070" t="s">
        <v>1391</v>
      </c>
      <c r="J1070" t="b">
        <f>IF(OR(INDEX(OHZ_HAZ_AMOUNT,63,1)&lt;&gt;"",),IF(OR(INDEX(OHZ_HAZ_NETGROSS,63,1)="",INDEX(OHZ_HAZ_UNIT,63,1)="",),FALSE,TRUE),TRUE)</f>
        <v>1</v>
      </c>
      <c r="K1070" t="str">
        <f t="shared" si="33"/>
        <v>Row 63 - For ‘Transport unit’ if ‘Amount’ is given then ‘Gross / Net’ and ‘Amount unit’ are required</v>
      </c>
      <c r="L1070" t="s">
        <v>1391</v>
      </c>
    </row>
    <row r="1071" spans="7:12" x14ac:dyDescent="0.25">
      <c r="G1071" t="b">
        <f>IF(OR(INDEX(IHZ_HAZ_AMOUNT,64,1)&lt;&gt;"",),IF(OR(INDEX(IHZ_HAZ_NETGROSS,64,1)="",INDEX(IHZ_HAZ_UNIT,64,1)="",),FALSE,TRUE),TRUE)</f>
        <v>1</v>
      </c>
      <c r="H1071" t="str">
        <f t="shared" si="32"/>
        <v>Row 64 - For ‘Transport unit’ if ‘Amount’ is given then ‘Gross / Net’ and ‘Amount unit’ are required</v>
      </c>
      <c r="I1071" t="s">
        <v>1391</v>
      </c>
      <c r="J1071" t="b">
        <f>IF(OR(INDEX(OHZ_HAZ_AMOUNT,64,1)&lt;&gt;"",),IF(OR(INDEX(OHZ_HAZ_NETGROSS,64,1)="",INDEX(OHZ_HAZ_UNIT,64,1)="",),FALSE,TRUE),TRUE)</f>
        <v>1</v>
      </c>
      <c r="K1071" t="str">
        <f t="shared" si="33"/>
        <v>Row 64 - For ‘Transport unit’ if ‘Amount’ is given then ‘Gross / Net’ and ‘Amount unit’ are required</v>
      </c>
      <c r="L1071" t="s">
        <v>1391</v>
      </c>
    </row>
    <row r="1072" spans="7:12" x14ac:dyDescent="0.25">
      <c r="G1072" t="b">
        <f>IF(OR(INDEX(IHZ_HAZ_AMOUNT,65,1)&lt;&gt;"",),IF(OR(INDEX(IHZ_HAZ_NETGROSS,65,1)="",INDEX(IHZ_HAZ_UNIT,65,1)="",),FALSE,TRUE),TRUE)</f>
        <v>1</v>
      </c>
      <c r="H1072" t="str">
        <f t="shared" si="32"/>
        <v>Row 65 - For ‘Transport unit’ if ‘Amount’ is given then ‘Gross / Net’ and ‘Amount unit’ are required</v>
      </c>
      <c r="I1072" t="s">
        <v>1391</v>
      </c>
      <c r="J1072" t="b">
        <f>IF(OR(INDEX(OHZ_HAZ_AMOUNT,65,1)&lt;&gt;"",),IF(OR(INDEX(OHZ_HAZ_NETGROSS,65,1)="",INDEX(OHZ_HAZ_UNIT,65,1)="",),FALSE,TRUE),TRUE)</f>
        <v>1</v>
      </c>
      <c r="K1072" t="str">
        <f t="shared" si="33"/>
        <v>Row 65 - For ‘Transport unit’ if ‘Amount’ is given then ‘Gross / Net’ and ‘Amount unit’ are required</v>
      </c>
      <c r="L1072" t="s">
        <v>1391</v>
      </c>
    </row>
    <row r="1073" spans="7:12" x14ac:dyDescent="0.25">
      <c r="G1073" t="b">
        <f>IF(OR(INDEX(IHZ_HAZ_AMOUNT,66,1)&lt;&gt;"",),IF(OR(INDEX(IHZ_HAZ_NETGROSS,66,1)="",INDEX(IHZ_HAZ_UNIT,66,1)="",),FALSE,TRUE),TRUE)</f>
        <v>1</v>
      </c>
      <c r="H1073" t="str">
        <f t="shared" ref="H1073:H1136" si="34">T66&amp;$V$5</f>
        <v>Row 66 - For ‘Transport unit’ if ‘Amount’ is given then ‘Gross / Net’ and ‘Amount unit’ are required</v>
      </c>
      <c r="I1073" t="s">
        <v>1391</v>
      </c>
      <c r="J1073" t="b">
        <f>IF(OR(INDEX(OHZ_HAZ_AMOUNT,66,1)&lt;&gt;"",),IF(OR(INDEX(OHZ_HAZ_NETGROSS,66,1)="",INDEX(OHZ_HAZ_UNIT,66,1)="",),FALSE,TRUE),TRUE)</f>
        <v>1</v>
      </c>
      <c r="K1073" t="str">
        <f t="shared" ref="K1073:K1136" si="35">T66&amp;$V$5</f>
        <v>Row 66 - For ‘Transport unit’ if ‘Amount’ is given then ‘Gross / Net’ and ‘Amount unit’ are required</v>
      </c>
      <c r="L1073" t="s">
        <v>1391</v>
      </c>
    </row>
    <row r="1074" spans="7:12" x14ac:dyDescent="0.25">
      <c r="G1074" t="b">
        <f>IF(OR(INDEX(IHZ_HAZ_AMOUNT,67,1)&lt;&gt;"",),IF(OR(INDEX(IHZ_HAZ_NETGROSS,67,1)="",INDEX(IHZ_HAZ_UNIT,67,1)="",),FALSE,TRUE),TRUE)</f>
        <v>1</v>
      </c>
      <c r="H1074" t="str">
        <f t="shared" si="34"/>
        <v>Row 67 - For ‘Transport unit’ if ‘Amount’ is given then ‘Gross / Net’ and ‘Amount unit’ are required</v>
      </c>
      <c r="I1074" t="s">
        <v>1391</v>
      </c>
      <c r="J1074" t="b">
        <f>IF(OR(INDEX(OHZ_HAZ_AMOUNT,67,1)&lt;&gt;"",),IF(OR(INDEX(OHZ_HAZ_NETGROSS,67,1)="",INDEX(OHZ_HAZ_UNIT,67,1)="",),FALSE,TRUE),TRUE)</f>
        <v>1</v>
      </c>
      <c r="K1074" t="str">
        <f t="shared" si="35"/>
        <v>Row 67 - For ‘Transport unit’ if ‘Amount’ is given then ‘Gross / Net’ and ‘Amount unit’ are required</v>
      </c>
      <c r="L1074" t="s">
        <v>1391</v>
      </c>
    </row>
    <row r="1075" spans="7:12" x14ac:dyDescent="0.25">
      <c r="G1075" t="b">
        <f>IF(OR(INDEX(IHZ_HAZ_AMOUNT,68,1)&lt;&gt;"",),IF(OR(INDEX(IHZ_HAZ_NETGROSS,68,1)="",INDEX(IHZ_HAZ_UNIT,68,1)="",),FALSE,TRUE),TRUE)</f>
        <v>1</v>
      </c>
      <c r="H1075" t="str">
        <f t="shared" si="34"/>
        <v>Row 68 - For ‘Transport unit’ if ‘Amount’ is given then ‘Gross / Net’ and ‘Amount unit’ are required</v>
      </c>
      <c r="I1075" t="s">
        <v>1391</v>
      </c>
      <c r="J1075" t="b">
        <f>IF(OR(INDEX(OHZ_HAZ_AMOUNT,68,1)&lt;&gt;"",),IF(OR(INDEX(OHZ_HAZ_NETGROSS,68,1)="",INDEX(OHZ_HAZ_UNIT,68,1)="",),FALSE,TRUE),TRUE)</f>
        <v>1</v>
      </c>
      <c r="K1075" t="str">
        <f t="shared" si="35"/>
        <v>Row 68 - For ‘Transport unit’ if ‘Amount’ is given then ‘Gross / Net’ and ‘Amount unit’ are required</v>
      </c>
      <c r="L1075" t="s">
        <v>1391</v>
      </c>
    </row>
    <row r="1076" spans="7:12" x14ac:dyDescent="0.25">
      <c r="G1076" t="b">
        <f>IF(OR(INDEX(IHZ_HAZ_AMOUNT,69,1)&lt;&gt;"",),IF(OR(INDEX(IHZ_HAZ_NETGROSS,69,1)="",INDEX(IHZ_HAZ_UNIT,69,1)="",),FALSE,TRUE),TRUE)</f>
        <v>1</v>
      </c>
      <c r="H1076" t="str">
        <f t="shared" si="34"/>
        <v>Row 69 - For ‘Transport unit’ if ‘Amount’ is given then ‘Gross / Net’ and ‘Amount unit’ are required</v>
      </c>
      <c r="I1076" t="s">
        <v>1391</v>
      </c>
      <c r="J1076" t="b">
        <f>IF(OR(INDEX(OHZ_HAZ_AMOUNT,69,1)&lt;&gt;"",),IF(OR(INDEX(OHZ_HAZ_NETGROSS,69,1)="",INDEX(OHZ_HAZ_UNIT,69,1)="",),FALSE,TRUE),TRUE)</f>
        <v>1</v>
      </c>
      <c r="K1076" t="str">
        <f t="shared" si="35"/>
        <v>Row 69 - For ‘Transport unit’ if ‘Amount’ is given then ‘Gross / Net’ and ‘Amount unit’ are required</v>
      </c>
      <c r="L1076" t="s">
        <v>1391</v>
      </c>
    </row>
    <row r="1077" spans="7:12" x14ac:dyDescent="0.25">
      <c r="G1077" t="b">
        <f>IF(OR(INDEX(IHZ_HAZ_AMOUNT,70,1)&lt;&gt;"",),IF(OR(INDEX(IHZ_HAZ_NETGROSS,70,1)="",INDEX(IHZ_HAZ_UNIT,70,1)="",),FALSE,TRUE),TRUE)</f>
        <v>1</v>
      </c>
      <c r="H1077" t="str">
        <f t="shared" si="34"/>
        <v>Row 70 - For ‘Transport unit’ if ‘Amount’ is given then ‘Gross / Net’ and ‘Amount unit’ are required</v>
      </c>
      <c r="I1077" t="s">
        <v>1391</v>
      </c>
      <c r="J1077" t="b">
        <f>IF(OR(INDEX(OHZ_HAZ_AMOUNT,70,1)&lt;&gt;"",),IF(OR(INDEX(OHZ_HAZ_NETGROSS,70,1)="",INDEX(OHZ_HAZ_UNIT,70,1)="",),FALSE,TRUE),TRUE)</f>
        <v>1</v>
      </c>
      <c r="K1077" t="str">
        <f t="shared" si="35"/>
        <v>Row 70 - For ‘Transport unit’ if ‘Amount’ is given then ‘Gross / Net’ and ‘Amount unit’ are required</v>
      </c>
      <c r="L1077" t="s">
        <v>1391</v>
      </c>
    </row>
    <row r="1078" spans="7:12" x14ac:dyDescent="0.25">
      <c r="G1078" t="b">
        <f>IF(OR(INDEX(IHZ_HAZ_AMOUNT,71,1)&lt;&gt;"",),IF(OR(INDEX(IHZ_HAZ_NETGROSS,71,1)="",INDEX(IHZ_HAZ_UNIT,71,1)="",),FALSE,TRUE),TRUE)</f>
        <v>1</v>
      </c>
      <c r="H1078" t="str">
        <f t="shared" si="34"/>
        <v>Row 71 - For ‘Transport unit’ if ‘Amount’ is given then ‘Gross / Net’ and ‘Amount unit’ are required</v>
      </c>
      <c r="I1078" t="s">
        <v>1391</v>
      </c>
      <c r="J1078" t="b">
        <f>IF(OR(INDEX(OHZ_HAZ_AMOUNT,71,1)&lt;&gt;"",),IF(OR(INDEX(OHZ_HAZ_NETGROSS,71,1)="",INDEX(OHZ_HAZ_UNIT,71,1)="",),FALSE,TRUE),TRUE)</f>
        <v>1</v>
      </c>
      <c r="K1078" t="str">
        <f t="shared" si="35"/>
        <v>Row 71 - For ‘Transport unit’ if ‘Amount’ is given then ‘Gross / Net’ and ‘Amount unit’ are required</v>
      </c>
      <c r="L1078" t="s">
        <v>1391</v>
      </c>
    </row>
    <row r="1079" spans="7:12" x14ac:dyDescent="0.25">
      <c r="G1079" t="b">
        <f>IF(OR(INDEX(IHZ_HAZ_AMOUNT,72,1)&lt;&gt;"",),IF(OR(INDEX(IHZ_HAZ_NETGROSS,72,1)="",INDEX(IHZ_HAZ_UNIT,72,1)="",),FALSE,TRUE),TRUE)</f>
        <v>1</v>
      </c>
      <c r="H1079" t="str">
        <f t="shared" si="34"/>
        <v>Row 72 - For ‘Transport unit’ if ‘Amount’ is given then ‘Gross / Net’ and ‘Amount unit’ are required</v>
      </c>
      <c r="I1079" t="s">
        <v>1391</v>
      </c>
      <c r="J1079" t="b">
        <f>IF(OR(INDEX(OHZ_HAZ_AMOUNT,72,1)&lt;&gt;"",),IF(OR(INDEX(OHZ_HAZ_NETGROSS,72,1)="",INDEX(OHZ_HAZ_UNIT,72,1)="",),FALSE,TRUE),TRUE)</f>
        <v>1</v>
      </c>
      <c r="K1079" t="str">
        <f t="shared" si="35"/>
        <v>Row 72 - For ‘Transport unit’ if ‘Amount’ is given then ‘Gross / Net’ and ‘Amount unit’ are required</v>
      </c>
      <c r="L1079" t="s">
        <v>1391</v>
      </c>
    </row>
    <row r="1080" spans="7:12" x14ac:dyDescent="0.25">
      <c r="G1080" t="b">
        <f>IF(OR(INDEX(IHZ_HAZ_AMOUNT,73,1)&lt;&gt;"",),IF(OR(INDEX(IHZ_HAZ_NETGROSS,73,1)="",INDEX(IHZ_HAZ_UNIT,73,1)="",),FALSE,TRUE),TRUE)</f>
        <v>1</v>
      </c>
      <c r="H1080" t="str">
        <f t="shared" si="34"/>
        <v>Row 73 - For ‘Transport unit’ if ‘Amount’ is given then ‘Gross / Net’ and ‘Amount unit’ are required</v>
      </c>
      <c r="I1080" t="s">
        <v>1391</v>
      </c>
      <c r="J1080" t="b">
        <f>IF(OR(INDEX(OHZ_HAZ_AMOUNT,73,1)&lt;&gt;"",),IF(OR(INDEX(OHZ_HAZ_NETGROSS,73,1)="",INDEX(OHZ_HAZ_UNIT,73,1)="",),FALSE,TRUE),TRUE)</f>
        <v>1</v>
      </c>
      <c r="K1080" t="str">
        <f t="shared" si="35"/>
        <v>Row 73 - For ‘Transport unit’ if ‘Amount’ is given then ‘Gross / Net’ and ‘Amount unit’ are required</v>
      </c>
      <c r="L1080" t="s">
        <v>1391</v>
      </c>
    </row>
    <row r="1081" spans="7:12" x14ac:dyDescent="0.25">
      <c r="G1081" t="b">
        <f>IF(OR(INDEX(IHZ_HAZ_AMOUNT,74,1)&lt;&gt;"",),IF(OR(INDEX(IHZ_HAZ_NETGROSS,74,1)="",INDEX(IHZ_HAZ_UNIT,74,1)="",),FALSE,TRUE),TRUE)</f>
        <v>1</v>
      </c>
      <c r="H1081" t="str">
        <f t="shared" si="34"/>
        <v>Row 74 - For ‘Transport unit’ if ‘Amount’ is given then ‘Gross / Net’ and ‘Amount unit’ are required</v>
      </c>
      <c r="I1081" t="s">
        <v>1391</v>
      </c>
      <c r="J1081" t="b">
        <f>IF(OR(INDEX(OHZ_HAZ_AMOUNT,74,1)&lt;&gt;"",),IF(OR(INDEX(OHZ_HAZ_NETGROSS,74,1)="",INDEX(OHZ_HAZ_UNIT,74,1)="",),FALSE,TRUE),TRUE)</f>
        <v>1</v>
      </c>
      <c r="K1081" t="str">
        <f t="shared" si="35"/>
        <v>Row 74 - For ‘Transport unit’ if ‘Amount’ is given then ‘Gross / Net’ and ‘Amount unit’ are required</v>
      </c>
      <c r="L1081" t="s">
        <v>1391</v>
      </c>
    </row>
    <row r="1082" spans="7:12" x14ac:dyDescent="0.25">
      <c r="G1082" t="b">
        <f>IF(OR(INDEX(IHZ_HAZ_AMOUNT,75,1)&lt;&gt;"",),IF(OR(INDEX(IHZ_HAZ_NETGROSS,75,1)="",INDEX(IHZ_HAZ_UNIT,75,1)="",),FALSE,TRUE),TRUE)</f>
        <v>1</v>
      </c>
      <c r="H1082" t="str">
        <f t="shared" si="34"/>
        <v>Row 75 - For ‘Transport unit’ if ‘Amount’ is given then ‘Gross / Net’ and ‘Amount unit’ are required</v>
      </c>
      <c r="I1082" t="s">
        <v>1391</v>
      </c>
      <c r="J1082" t="b">
        <f>IF(OR(INDEX(OHZ_HAZ_AMOUNT,75,1)&lt;&gt;"",),IF(OR(INDEX(OHZ_HAZ_NETGROSS,75,1)="",INDEX(OHZ_HAZ_UNIT,75,1)="",),FALSE,TRUE),TRUE)</f>
        <v>1</v>
      </c>
      <c r="K1082" t="str">
        <f t="shared" si="35"/>
        <v>Row 75 - For ‘Transport unit’ if ‘Amount’ is given then ‘Gross / Net’ and ‘Amount unit’ are required</v>
      </c>
      <c r="L1082" t="s">
        <v>1391</v>
      </c>
    </row>
    <row r="1083" spans="7:12" x14ac:dyDescent="0.25">
      <c r="G1083" t="b">
        <f>IF(OR(INDEX(IHZ_HAZ_AMOUNT,76,1)&lt;&gt;"",),IF(OR(INDEX(IHZ_HAZ_NETGROSS,76,1)="",INDEX(IHZ_HAZ_UNIT,76,1)="",),FALSE,TRUE),TRUE)</f>
        <v>1</v>
      </c>
      <c r="H1083" t="str">
        <f t="shared" si="34"/>
        <v>Row 76 - For ‘Transport unit’ if ‘Amount’ is given then ‘Gross / Net’ and ‘Amount unit’ are required</v>
      </c>
      <c r="I1083" t="s">
        <v>1391</v>
      </c>
      <c r="J1083" t="b">
        <f>IF(OR(INDEX(OHZ_HAZ_AMOUNT,76,1)&lt;&gt;"",),IF(OR(INDEX(OHZ_HAZ_NETGROSS,76,1)="",INDEX(OHZ_HAZ_UNIT,76,1)="",),FALSE,TRUE),TRUE)</f>
        <v>1</v>
      </c>
      <c r="K1083" t="str">
        <f t="shared" si="35"/>
        <v>Row 76 - For ‘Transport unit’ if ‘Amount’ is given then ‘Gross / Net’ and ‘Amount unit’ are required</v>
      </c>
      <c r="L1083" t="s">
        <v>1391</v>
      </c>
    </row>
    <row r="1084" spans="7:12" x14ac:dyDescent="0.25">
      <c r="G1084" t="b">
        <f>IF(OR(INDEX(IHZ_HAZ_AMOUNT,77,1)&lt;&gt;"",),IF(OR(INDEX(IHZ_HAZ_NETGROSS,77,1)="",INDEX(IHZ_HAZ_UNIT,77,1)="",),FALSE,TRUE),TRUE)</f>
        <v>1</v>
      </c>
      <c r="H1084" t="str">
        <f t="shared" si="34"/>
        <v>Row 77 - For ‘Transport unit’ if ‘Amount’ is given then ‘Gross / Net’ and ‘Amount unit’ are required</v>
      </c>
      <c r="I1084" t="s">
        <v>1391</v>
      </c>
      <c r="J1084" t="b">
        <f>IF(OR(INDEX(OHZ_HAZ_AMOUNT,77,1)&lt;&gt;"",),IF(OR(INDEX(OHZ_HAZ_NETGROSS,77,1)="",INDEX(OHZ_HAZ_UNIT,77,1)="",),FALSE,TRUE),TRUE)</f>
        <v>1</v>
      </c>
      <c r="K1084" t="str">
        <f t="shared" si="35"/>
        <v>Row 77 - For ‘Transport unit’ if ‘Amount’ is given then ‘Gross / Net’ and ‘Amount unit’ are required</v>
      </c>
      <c r="L1084" t="s">
        <v>1391</v>
      </c>
    </row>
    <row r="1085" spans="7:12" x14ac:dyDescent="0.25">
      <c r="G1085" t="b">
        <f>IF(OR(INDEX(IHZ_HAZ_AMOUNT,78,1)&lt;&gt;"",),IF(OR(INDEX(IHZ_HAZ_NETGROSS,78,1)="",INDEX(IHZ_HAZ_UNIT,78,1)="",),FALSE,TRUE),TRUE)</f>
        <v>1</v>
      </c>
      <c r="H1085" t="str">
        <f t="shared" si="34"/>
        <v>Row 78 - For ‘Transport unit’ if ‘Amount’ is given then ‘Gross / Net’ and ‘Amount unit’ are required</v>
      </c>
      <c r="I1085" t="s">
        <v>1391</v>
      </c>
      <c r="J1085" t="b">
        <f>IF(OR(INDEX(OHZ_HAZ_AMOUNT,78,1)&lt;&gt;"",),IF(OR(INDEX(OHZ_HAZ_NETGROSS,78,1)="",INDEX(OHZ_HAZ_UNIT,78,1)="",),FALSE,TRUE),TRUE)</f>
        <v>1</v>
      </c>
      <c r="K1085" t="str">
        <f t="shared" si="35"/>
        <v>Row 78 - For ‘Transport unit’ if ‘Amount’ is given then ‘Gross / Net’ and ‘Amount unit’ are required</v>
      </c>
      <c r="L1085" t="s">
        <v>1391</v>
      </c>
    </row>
    <row r="1086" spans="7:12" x14ac:dyDescent="0.25">
      <c r="G1086" t="b">
        <f>IF(OR(INDEX(IHZ_HAZ_AMOUNT,79,1)&lt;&gt;"",),IF(OR(INDEX(IHZ_HAZ_NETGROSS,79,1)="",INDEX(IHZ_HAZ_UNIT,79,1)="",),FALSE,TRUE),TRUE)</f>
        <v>1</v>
      </c>
      <c r="H1086" t="str">
        <f t="shared" si="34"/>
        <v>Row 79 - For ‘Transport unit’ if ‘Amount’ is given then ‘Gross / Net’ and ‘Amount unit’ are required</v>
      </c>
      <c r="I1086" t="s">
        <v>1391</v>
      </c>
      <c r="J1086" t="b">
        <f>IF(OR(INDEX(OHZ_HAZ_AMOUNT,79,1)&lt;&gt;"",),IF(OR(INDEX(OHZ_HAZ_NETGROSS,79,1)="",INDEX(OHZ_HAZ_UNIT,79,1)="",),FALSE,TRUE),TRUE)</f>
        <v>1</v>
      </c>
      <c r="K1086" t="str">
        <f t="shared" si="35"/>
        <v>Row 79 - For ‘Transport unit’ if ‘Amount’ is given then ‘Gross / Net’ and ‘Amount unit’ are required</v>
      </c>
      <c r="L1086" t="s">
        <v>1391</v>
      </c>
    </row>
    <row r="1087" spans="7:12" x14ac:dyDescent="0.25">
      <c r="G1087" t="b">
        <f>IF(OR(INDEX(IHZ_HAZ_AMOUNT,80,1)&lt;&gt;"",),IF(OR(INDEX(IHZ_HAZ_NETGROSS,80,1)="",INDEX(IHZ_HAZ_UNIT,80,1)="",),FALSE,TRUE),TRUE)</f>
        <v>1</v>
      </c>
      <c r="H1087" t="str">
        <f t="shared" si="34"/>
        <v>Row 80 - For ‘Transport unit’ if ‘Amount’ is given then ‘Gross / Net’ and ‘Amount unit’ are required</v>
      </c>
      <c r="I1087" t="s">
        <v>1391</v>
      </c>
      <c r="J1087" t="b">
        <f>IF(OR(INDEX(OHZ_HAZ_AMOUNT,80,1)&lt;&gt;"",),IF(OR(INDEX(OHZ_HAZ_NETGROSS,80,1)="",INDEX(OHZ_HAZ_UNIT,80,1)="",),FALSE,TRUE),TRUE)</f>
        <v>1</v>
      </c>
      <c r="K1087" t="str">
        <f t="shared" si="35"/>
        <v>Row 80 - For ‘Transport unit’ if ‘Amount’ is given then ‘Gross / Net’ and ‘Amount unit’ are required</v>
      </c>
      <c r="L1087" t="s">
        <v>1391</v>
      </c>
    </row>
    <row r="1088" spans="7:12" x14ac:dyDescent="0.25">
      <c r="G1088" t="b">
        <f>IF(OR(INDEX(IHZ_HAZ_AMOUNT,81,1)&lt;&gt;"",),IF(OR(INDEX(IHZ_HAZ_NETGROSS,81,1)="",INDEX(IHZ_HAZ_UNIT,81,1)="",),FALSE,TRUE),TRUE)</f>
        <v>1</v>
      </c>
      <c r="H1088" t="str">
        <f t="shared" si="34"/>
        <v>Row 81 - For ‘Transport unit’ if ‘Amount’ is given then ‘Gross / Net’ and ‘Amount unit’ are required</v>
      </c>
      <c r="I1088" t="s">
        <v>1391</v>
      </c>
      <c r="J1088" t="b">
        <f>IF(OR(INDEX(OHZ_HAZ_AMOUNT,81,1)&lt;&gt;"",),IF(OR(INDEX(OHZ_HAZ_NETGROSS,81,1)="",INDEX(OHZ_HAZ_UNIT,81,1)="",),FALSE,TRUE),TRUE)</f>
        <v>1</v>
      </c>
      <c r="K1088" t="str">
        <f t="shared" si="35"/>
        <v>Row 81 - For ‘Transport unit’ if ‘Amount’ is given then ‘Gross / Net’ and ‘Amount unit’ are required</v>
      </c>
      <c r="L1088" t="s">
        <v>1391</v>
      </c>
    </row>
    <row r="1089" spans="7:12" x14ac:dyDescent="0.25">
      <c r="G1089" t="b">
        <f>IF(OR(INDEX(IHZ_HAZ_AMOUNT,82,1)&lt;&gt;"",),IF(OR(INDEX(IHZ_HAZ_NETGROSS,82,1)="",INDEX(IHZ_HAZ_UNIT,82,1)="",),FALSE,TRUE),TRUE)</f>
        <v>1</v>
      </c>
      <c r="H1089" t="str">
        <f t="shared" si="34"/>
        <v>Row 82 - For ‘Transport unit’ if ‘Amount’ is given then ‘Gross / Net’ and ‘Amount unit’ are required</v>
      </c>
      <c r="I1089" t="s">
        <v>1391</v>
      </c>
      <c r="J1089" t="b">
        <f>IF(OR(INDEX(OHZ_HAZ_AMOUNT,82,1)&lt;&gt;"",),IF(OR(INDEX(OHZ_HAZ_NETGROSS,82,1)="",INDEX(OHZ_HAZ_UNIT,82,1)="",),FALSE,TRUE),TRUE)</f>
        <v>1</v>
      </c>
      <c r="K1089" t="str">
        <f t="shared" si="35"/>
        <v>Row 82 - For ‘Transport unit’ if ‘Amount’ is given then ‘Gross / Net’ and ‘Amount unit’ are required</v>
      </c>
      <c r="L1089" t="s">
        <v>1391</v>
      </c>
    </row>
    <row r="1090" spans="7:12" x14ac:dyDescent="0.25">
      <c r="G1090" t="b">
        <f>IF(OR(INDEX(IHZ_HAZ_AMOUNT,83,1)&lt;&gt;"",),IF(OR(INDEX(IHZ_HAZ_NETGROSS,83,1)="",INDEX(IHZ_HAZ_UNIT,83,1)="",),FALSE,TRUE),TRUE)</f>
        <v>1</v>
      </c>
      <c r="H1090" t="str">
        <f t="shared" si="34"/>
        <v>Row 83 - For ‘Transport unit’ if ‘Amount’ is given then ‘Gross / Net’ and ‘Amount unit’ are required</v>
      </c>
      <c r="I1090" t="s">
        <v>1391</v>
      </c>
      <c r="J1090" t="b">
        <f>IF(OR(INDEX(OHZ_HAZ_AMOUNT,83,1)&lt;&gt;"",),IF(OR(INDEX(OHZ_HAZ_NETGROSS,83,1)="",INDEX(OHZ_HAZ_UNIT,83,1)="",),FALSE,TRUE),TRUE)</f>
        <v>1</v>
      </c>
      <c r="K1090" t="str">
        <f t="shared" si="35"/>
        <v>Row 83 - For ‘Transport unit’ if ‘Amount’ is given then ‘Gross / Net’ and ‘Amount unit’ are required</v>
      </c>
      <c r="L1090" t="s">
        <v>1391</v>
      </c>
    </row>
    <row r="1091" spans="7:12" x14ac:dyDescent="0.25">
      <c r="G1091" t="b">
        <f>IF(OR(INDEX(IHZ_HAZ_AMOUNT,84,1)&lt;&gt;"",),IF(OR(INDEX(IHZ_HAZ_NETGROSS,84,1)="",INDEX(IHZ_HAZ_UNIT,84,1)="",),FALSE,TRUE),TRUE)</f>
        <v>1</v>
      </c>
      <c r="H1091" t="str">
        <f t="shared" si="34"/>
        <v>Row 84 - For ‘Transport unit’ if ‘Amount’ is given then ‘Gross / Net’ and ‘Amount unit’ are required</v>
      </c>
      <c r="I1091" t="s">
        <v>1391</v>
      </c>
      <c r="J1091" t="b">
        <f>IF(OR(INDEX(OHZ_HAZ_AMOUNT,84,1)&lt;&gt;"",),IF(OR(INDEX(OHZ_HAZ_NETGROSS,84,1)="",INDEX(OHZ_HAZ_UNIT,84,1)="",),FALSE,TRUE),TRUE)</f>
        <v>1</v>
      </c>
      <c r="K1091" t="str">
        <f t="shared" si="35"/>
        <v>Row 84 - For ‘Transport unit’ if ‘Amount’ is given then ‘Gross / Net’ and ‘Amount unit’ are required</v>
      </c>
      <c r="L1091" t="s">
        <v>1391</v>
      </c>
    </row>
    <row r="1092" spans="7:12" x14ac:dyDescent="0.25">
      <c r="G1092" t="b">
        <f>IF(OR(INDEX(IHZ_HAZ_AMOUNT,85,1)&lt;&gt;"",),IF(OR(INDEX(IHZ_HAZ_NETGROSS,85,1)="",INDEX(IHZ_HAZ_UNIT,85,1)="",),FALSE,TRUE),TRUE)</f>
        <v>1</v>
      </c>
      <c r="H1092" t="str">
        <f t="shared" si="34"/>
        <v>Row 85 - For ‘Transport unit’ if ‘Amount’ is given then ‘Gross / Net’ and ‘Amount unit’ are required</v>
      </c>
      <c r="I1092" t="s">
        <v>1391</v>
      </c>
      <c r="J1092" t="b">
        <f>IF(OR(INDEX(OHZ_HAZ_AMOUNT,85,1)&lt;&gt;"",),IF(OR(INDEX(OHZ_HAZ_NETGROSS,85,1)="",INDEX(OHZ_HAZ_UNIT,85,1)="",),FALSE,TRUE),TRUE)</f>
        <v>1</v>
      </c>
      <c r="K1092" t="str">
        <f t="shared" si="35"/>
        <v>Row 85 - For ‘Transport unit’ if ‘Amount’ is given then ‘Gross / Net’ and ‘Amount unit’ are required</v>
      </c>
      <c r="L1092" t="s">
        <v>1391</v>
      </c>
    </row>
    <row r="1093" spans="7:12" x14ac:dyDescent="0.25">
      <c r="G1093" t="b">
        <f>IF(OR(INDEX(IHZ_HAZ_AMOUNT,86,1)&lt;&gt;"",),IF(OR(INDEX(IHZ_HAZ_NETGROSS,86,1)="",INDEX(IHZ_HAZ_UNIT,86,1)="",),FALSE,TRUE),TRUE)</f>
        <v>1</v>
      </c>
      <c r="H1093" t="str">
        <f t="shared" si="34"/>
        <v>Row 86 - For ‘Transport unit’ if ‘Amount’ is given then ‘Gross / Net’ and ‘Amount unit’ are required</v>
      </c>
      <c r="I1093" t="s">
        <v>1391</v>
      </c>
      <c r="J1093" t="b">
        <f>IF(OR(INDEX(OHZ_HAZ_AMOUNT,86,1)&lt;&gt;"",),IF(OR(INDEX(OHZ_HAZ_NETGROSS,86,1)="",INDEX(OHZ_HAZ_UNIT,86,1)="",),FALSE,TRUE),TRUE)</f>
        <v>1</v>
      </c>
      <c r="K1093" t="str">
        <f t="shared" si="35"/>
        <v>Row 86 - For ‘Transport unit’ if ‘Amount’ is given then ‘Gross / Net’ and ‘Amount unit’ are required</v>
      </c>
      <c r="L1093" t="s">
        <v>1391</v>
      </c>
    </row>
    <row r="1094" spans="7:12" x14ac:dyDescent="0.25">
      <c r="G1094" t="b">
        <f>IF(OR(INDEX(IHZ_HAZ_AMOUNT,87,1)&lt;&gt;"",),IF(OR(INDEX(IHZ_HAZ_NETGROSS,87,1)="",INDEX(IHZ_HAZ_UNIT,87,1)="",),FALSE,TRUE),TRUE)</f>
        <v>1</v>
      </c>
      <c r="H1094" t="str">
        <f t="shared" si="34"/>
        <v>Row 87 - For ‘Transport unit’ if ‘Amount’ is given then ‘Gross / Net’ and ‘Amount unit’ are required</v>
      </c>
      <c r="I1094" t="s">
        <v>1391</v>
      </c>
      <c r="J1094" t="b">
        <f>IF(OR(INDEX(OHZ_HAZ_AMOUNT,87,1)&lt;&gt;"",),IF(OR(INDEX(OHZ_HAZ_NETGROSS,87,1)="",INDEX(OHZ_HAZ_UNIT,87,1)="",),FALSE,TRUE),TRUE)</f>
        <v>1</v>
      </c>
      <c r="K1094" t="str">
        <f t="shared" si="35"/>
        <v>Row 87 - For ‘Transport unit’ if ‘Amount’ is given then ‘Gross / Net’ and ‘Amount unit’ are required</v>
      </c>
      <c r="L1094" t="s">
        <v>1391</v>
      </c>
    </row>
    <row r="1095" spans="7:12" x14ac:dyDescent="0.25">
      <c r="G1095" t="b">
        <f>IF(OR(INDEX(IHZ_HAZ_AMOUNT,88,1)&lt;&gt;"",),IF(OR(INDEX(IHZ_HAZ_NETGROSS,88,1)="",INDEX(IHZ_HAZ_UNIT,88,1)="",),FALSE,TRUE),TRUE)</f>
        <v>1</v>
      </c>
      <c r="H1095" t="str">
        <f t="shared" si="34"/>
        <v>Row 88 - For ‘Transport unit’ if ‘Amount’ is given then ‘Gross / Net’ and ‘Amount unit’ are required</v>
      </c>
      <c r="I1095" t="s">
        <v>1391</v>
      </c>
      <c r="J1095" t="b">
        <f>IF(OR(INDEX(OHZ_HAZ_AMOUNT,88,1)&lt;&gt;"",),IF(OR(INDEX(OHZ_HAZ_NETGROSS,88,1)="",INDEX(OHZ_HAZ_UNIT,88,1)="",),FALSE,TRUE),TRUE)</f>
        <v>1</v>
      </c>
      <c r="K1095" t="str">
        <f t="shared" si="35"/>
        <v>Row 88 - For ‘Transport unit’ if ‘Amount’ is given then ‘Gross / Net’ and ‘Amount unit’ are required</v>
      </c>
      <c r="L1095" t="s">
        <v>1391</v>
      </c>
    </row>
    <row r="1096" spans="7:12" x14ac:dyDescent="0.25">
      <c r="G1096" t="b">
        <f>IF(OR(INDEX(IHZ_HAZ_AMOUNT,89,1)&lt;&gt;"",),IF(OR(INDEX(IHZ_HAZ_NETGROSS,89,1)="",INDEX(IHZ_HAZ_UNIT,89,1)="",),FALSE,TRUE),TRUE)</f>
        <v>1</v>
      </c>
      <c r="H1096" t="str">
        <f t="shared" si="34"/>
        <v>Row 89 - For ‘Transport unit’ if ‘Amount’ is given then ‘Gross / Net’ and ‘Amount unit’ are required</v>
      </c>
      <c r="I1096" t="s">
        <v>1391</v>
      </c>
      <c r="J1096" t="b">
        <f>IF(OR(INDEX(OHZ_HAZ_AMOUNT,89,1)&lt;&gt;"",),IF(OR(INDEX(OHZ_HAZ_NETGROSS,89,1)="",INDEX(OHZ_HAZ_UNIT,89,1)="",),FALSE,TRUE),TRUE)</f>
        <v>1</v>
      </c>
      <c r="K1096" t="str">
        <f t="shared" si="35"/>
        <v>Row 89 - For ‘Transport unit’ if ‘Amount’ is given then ‘Gross / Net’ and ‘Amount unit’ are required</v>
      </c>
      <c r="L1096" t="s">
        <v>1391</v>
      </c>
    </row>
    <row r="1097" spans="7:12" x14ac:dyDescent="0.25">
      <c r="G1097" t="b">
        <f>IF(OR(INDEX(IHZ_HAZ_AMOUNT,90,1)&lt;&gt;"",),IF(OR(INDEX(IHZ_HAZ_NETGROSS,90,1)="",INDEX(IHZ_HAZ_UNIT,90,1)="",),FALSE,TRUE),TRUE)</f>
        <v>1</v>
      </c>
      <c r="H1097" t="str">
        <f t="shared" si="34"/>
        <v>Row 90 - For ‘Transport unit’ if ‘Amount’ is given then ‘Gross / Net’ and ‘Amount unit’ are required</v>
      </c>
      <c r="I1097" t="s">
        <v>1391</v>
      </c>
      <c r="J1097" t="b">
        <f>IF(OR(INDEX(OHZ_HAZ_AMOUNT,90,1)&lt;&gt;"",),IF(OR(INDEX(OHZ_HAZ_NETGROSS,90,1)="",INDEX(OHZ_HAZ_UNIT,90,1)="",),FALSE,TRUE),TRUE)</f>
        <v>1</v>
      </c>
      <c r="K1097" t="str">
        <f t="shared" si="35"/>
        <v>Row 90 - For ‘Transport unit’ if ‘Amount’ is given then ‘Gross / Net’ and ‘Amount unit’ are required</v>
      </c>
      <c r="L1097" t="s">
        <v>1391</v>
      </c>
    </row>
    <row r="1098" spans="7:12" x14ac:dyDescent="0.25">
      <c r="G1098" t="b">
        <f>IF(OR(INDEX(IHZ_HAZ_AMOUNT,91,1)&lt;&gt;"",),IF(OR(INDEX(IHZ_HAZ_NETGROSS,91,1)="",INDEX(IHZ_HAZ_UNIT,91,1)="",),FALSE,TRUE),TRUE)</f>
        <v>1</v>
      </c>
      <c r="H1098" t="str">
        <f t="shared" si="34"/>
        <v>Row 91 - For ‘Transport unit’ if ‘Amount’ is given then ‘Gross / Net’ and ‘Amount unit’ are required</v>
      </c>
      <c r="I1098" t="s">
        <v>1391</v>
      </c>
      <c r="J1098" t="b">
        <f>IF(OR(INDEX(OHZ_HAZ_AMOUNT,91,1)&lt;&gt;"",),IF(OR(INDEX(OHZ_HAZ_NETGROSS,91,1)="",INDEX(OHZ_HAZ_UNIT,91,1)="",),FALSE,TRUE),TRUE)</f>
        <v>1</v>
      </c>
      <c r="K1098" t="str">
        <f t="shared" si="35"/>
        <v>Row 91 - For ‘Transport unit’ if ‘Amount’ is given then ‘Gross / Net’ and ‘Amount unit’ are required</v>
      </c>
      <c r="L1098" t="s">
        <v>1391</v>
      </c>
    </row>
    <row r="1099" spans="7:12" x14ac:dyDescent="0.25">
      <c r="G1099" t="b">
        <f>IF(OR(INDEX(IHZ_HAZ_AMOUNT,92,1)&lt;&gt;"",),IF(OR(INDEX(IHZ_HAZ_NETGROSS,92,1)="",INDEX(IHZ_HAZ_UNIT,92,1)="",),FALSE,TRUE),TRUE)</f>
        <v>1</v>
      </c>
      <c r="H1099" t="str">
        <f t="shared" si="34"/>
        <v>Row 92 - For ‘Transport unit’ if ‘Amount’ is given then ‘Gross / Net’ and ‘Amount unit’ are required</v>
      </c>
      <c r="I1099" t="s">
        <v>1391</v>
      </c>
      <c r="J1099" t="b">
        <f>IF(OR(INDEX(OHZ_HAZ_AMOUNT,92,1)&lt;&gt;"",),IF(OR(INDEX(OHZ_HAZ_NETGROSS,92,1)="",INDEX(OHZ_HAZ_UNIT,92,1)="",),FALSE,TRUE),TRUE)</f>
        <v>1</v>
      </c>
      <c r="K1099" t="str">
        <f t="shared" si="35"/>
        <v>Row 92 - For ‘Transport unit’ if ‘Amount’ is given then ‘Gross / Net’ and ‘Amount unit’ are required</v>
      </c>
      <c r="L1099" t="s">
        <v>1391</v>
      </c>
    </row>
    <row r="1100" spans="7:12" x14ac:dyDescent="0.25">
      <c r="G1100" t="b">
        <f>IF(OR(INDEX(IHZ_HAZ_AMOUNT,93,1)&lt;&gt;"",),IF(OR(INDEX(IHZ_HAZ_NETGROSS,93,1)="",INDEX(IHZ_HAZ_UNIT,93,1)="",),FALSE,TRUE),TRUE)</f>
        <v>1</v>
      </c>
      <c r="H1100" t="str">
        <f t="shared" si="34"/>
        <v>Row 93 - For ‘Transport unit’ if ‘Amount’ is given then ‘Gross / Net’ and ‘Amount unit’ are required</v>
      </c>
      <c r="I1100" t="s">
        <v>1391</v>
      </c>
      <c r="J1100" t="b">
        <f>IF(OR(INDEX(OHZ_HAZ_AMOUNT,93,1)&lt;&gt;"",),IF(OR(INDEX(OHZ_HAZ_NETGROSS,93,1)="",INDEX(OHZ_HAZ_UNIT,93,1)="",),FALSE,TRUE),TRUE)</f>
        <v>1</v>
      </c>
      <c r="K1100" t="str">
        <f t="shared" si="35"/>
        <v>Row 93 - For ‘Transport unit’ if ‘Amount’ is given then ‘Gross / Net’ and ‘Amount unit’ are required</v>
      </c>
      <c r="L1100" t="s">
        <v>1391</v>
      </c>
    </row>
    <row r="1101" spans="7:12" x14ac:dyDescent="0.25">
      <c r="G1101" t="b">
        <f>IF(OR(INDEX(IHZ_HAZ_AMOUNT,94,1)&lt;&gt;"",),IF(OR(INDEX(IHZ_HAZ_NETGROSS,94,1)="",INDEX(IHZ_HAZ_UNIT,94,1)="",),FALSE,TRUE),TRUE)</f>
        <v>1</v>
      </c>
      <c r="H1101" t="str">
        <f t="shared" si="34"/>
        <v>Row 94 - For ‘Transport unit’ if ‘Amount’ is given then ‘Gross / Net’ and ‘Amount unit’ are required</v>
      </c>
      <c r="I1101" t="s">
        <v>1391</v>
      </c>
      <c r="J1101" t="b">
        <f>IF(OR(INDEX(OHZ_HAZ_AMOUNT,94,1)&lt;&gt;"",),IF(OR(INDEX(OHZ_HAZ_NETGROSS,94,1)="",INDEX(OHZ_HAZ_UNIT,94,1)="",),FALSE,TRUE),TRUE)</f>
        <v>1</v>
      </c>
      <c r="K1101" t="str">
        <f t="shared" si="35"/>
        <v>Row 94 - For ‘Transport unit’ if ‘Amount’ is given then ‘Gross / Net’ and ‘Amount unit’ are required</v>
      </c>
      <c r="L1101" t="s">
        <v>1391</v>
      </c>
    </row>
    <row r="1102" spans="7:12" x14ac:dyDescent="0.25">
      <c r="G1102" t="b">
        <f>IF(OR(INDEX(IHZ_HAZ_AMOUNT,95,1)&lt;&gt;"",),IF(OR(INDEX(IHZ_HAZ_NETGROSS,95,1)="",INDEX(IHZ_HAZ_UNIT,95,1)="",),FALSE,TRUE),TRUE)</f>
        <v>1</v>
      </c>
      <c r="H1102" t="str">
        <f t="shared" si="34"/>
        <v>Row 95 - For ‘Transport unit’ if ‘Amount’ is given then ‘Gross / Net’ and ‘Amount unit’ are required</v>
      </c>
      <c r="I1102" t="s">
        <v>1391</v>
      </c>
      <c r="J1102" t="b">
        <f>IF(OR(INDEX(OHZ_HAZ_AMOUNT,95,1)&lt;&gt;"",),IF(OR(INDEX(OHZ_HAZ_NETGROSS,95,1)="",INDEX(OHZ_HAZ_UNIT,95,1)="",),FALSE,TRUE),TRUE)</f>
        <v>1</v>
      </c>
      <c r="K1102" t="str">
        <f t="shared" si="35"/>
        <v>Row 95 - For ‘Transport unit’ if ‘Amount’ is given then ‘Gross / Net’ and ‘Amount unit’ are required</v>
      </c>
      <c r="L1102" t="s">
        <v>1391</v>
      </c>
    </row>
    <row r="1103" spans="7:12" x14ac:dyDescent="0.25">
      <c r="G1103" t="b">
        <f>IF(OR(INDEX(IHZ_HAZ_AMOUNT,96,1)&lt;&gt;"",),IF(OR(INDEX(IHZ_HAZ_NETGROSS,96,1)="",INDEX(IHZ_HAZ_UNIT,96,1)="",),FALSE,TRUE),TRUE)</f>
        <v>1</v>
      </c>
      <c r="H1103" t="str">
        <f t="shared" si="34"/>
        <v>Row 96 - For ‘Transport unit’ if ‘Amount’ is given then ‘Gross / Net’ and ‘Amount unit’ are required</v>
      </c>
      <c r="I1103" t="s">
        <v>1391</v>
      </c>
      <c r="J1103" t="b">
        <f>IF(OR(INDEX(OHZ_HAZ_AMOUNT,96,1)&lt;&gt;"",),IF(OR(INDEX(OHZ_HAZ_NETGROSS,96,1)="",INDEX(OHZ_HAZ_UNIT,96,1)="",),FALSE,TRUE),TRUE)</f>
        <v>1</v>
      </c>
      <c r="K1103" t="str">
        <f t="shared" si="35"/>
        <v>Row 96 - For ‘Transport unit’ if ‘Amount’ is given then ‘Gross / Net’ and ‘Amount unit’ are required</v>
      </c>
      <c r="L1103" t="s">
        <v>1391</v>
      </c>
    </row>
    <row r="1104" spans="7:12" x14ac:dyDescent="0.25">
      <c r="G1104" t="b">
        <f>IF(OR(INDEX(IHZ_HAZ_AMOUNT,97,1)&lt;&gt;"",),IF(OR(INDEX(IHZ_HAZ_NETGROSS,97,1)="",INDEX(IHZ_HAZ_UNIT,97,1)="",),FALSE,TRUE),TRUE)</f>
        <v>1</v>
      </c>
      <c r="H1104" t="str">
        <f t="shared" si="34"/>
        <v>Row 97 - For ‘Transport unit’ if ‘Amount’ is given then ‘Gross / Net’ and ‘Amount unit’ are required</v>
      </c>
      <c r="I1104" t="s">
        <v>1391</v>
      </c>
      <c r="J1104" t="b">
        <f>IF(OR(INDEX(OHZ_HAZ_AMOUNT,97,1)&lt;&gt;"",),IF(OR(INDEX(OHZ_HAZ_NETGROSS,97,1)="",INDEX(OHZ_HAZ_UNIT,97,1)="",),FALSE,TRUE),TRUE)</f>
        <v>1</v>
      </c>
      <c r="K1104" t="str">
        <f t="shared" si="35"/>
        <v>Row 97 - For ‘Transport unit’ if ‘Amount’ is given then ‘Gross / Net’ and ‘Amount unit’ are required</v>
      </c>
      <c r="L1104" t="s">
        <v>1391</v>
      </c>
    </row>
    <row r="1105" spans="7:12" x14ac:dyDescent="0.25">
      <c r="G1105" t="b">
        <f>IF(OR(INDEX(IHZ_HAZ_AMOUNT,98,1)&lt;&gt;"",),IF(OR(INDEX(IHZ_HAZ_NETGROSS,98,1)="",INDEX(IHZ_HAZ_UNIT,98,1)="",),FALSE,TRUE),TRUE)</f>
        <v>1</v>
      </c>
      <c r="H1105" t="str">
        <f t="shared" si="34"/>
        <v>Row 98 - For ‘Transport unit’ if ‘Amount’ is given then ‘Gross / Net’ and ‘Amount unit’ are required</v>
      </c>
      <c r="I1105" t="s">
        <v>1391</v>
      </c>
      <c r="J1105" t="b">
        <f>IF(OR(INDEX(OHZ_HAZ_AMOUNT,98,1)&lt;&gt;"",),IF(OR(INDEX(OHZ_HAZ_NETGROSS,98,1)="",INDEX(OHZ_HAZ_UNIT,98,1)="",),FALSE,TRUE),TRUE)</f>
        <v>1</v>
      </c>
      <c r="K1105" t="str">
        <f t="shared" si="35"/>
        <v>Row 98 - For ‘Transport unit’ if ‘Amount’ is given then ‘Gross / Net’ and ‘Amount unit’ are required</v>
      </c>
      <c r="L1105" t="s">
        <v>1391</v>
      </c>
    </row>
    <row r="1106" spans="7:12" x14ac:dyDescent="0.25">
      <c r="G1106" t="b">
        <f>IF(OR(INDEX(IHZ_HAZ_AMOUNT,99,1)&lt;&gt;"",),IF(OR(INDEX(IHZ_HAZ_NETGROSS,99,1)="",INDEX(IHZ_HAZ_UNIT,99,1)="",),FALSE,TRUE),TRUE)</f>
        <v>1</v>
      </c>
      <c r="H1106" t="str">
        <f t="shared" si="34"/>
        <v>Row 99 - For ‘Transport unit’ if ‘Amount’ is given then ‘Gross / Net’ and ‘Amount unit’ are required</v>
      </c>
      <c r="I1106" t="s">
        <v>1391</v>
      </c>
      <c r="J1106" t="b">
        <f>IF(OR(INDEX(OHZ_HAZ_AMOUNT,99,1)&lt;&gt;"",),IF(OR(INDEX(OHZ_HAZ_NETGROSS,99,1)="",INDEX(OHZ_HAZ_UNIT,99,1)="",),FALSE,TRUE),TRUE)</f>
        <v>1</v>
      </c>
      <c r="K1106" t="str">
        <f t="shared" si="35"/>
        <v>Row 99 - For ‘Transport unit’ if ‘Amount’ is given then ‘Gross / Net’ and ‘Amount unit’ are required</v>
      </c>
      <c r="L1106" t="s">
        <v>1391</v>
      </c>
    </row>
    <row r="1107" spans="7:12" x14ac:dyDescent="0.25">
      <c r="G1107" t="b">
        <f>IF(OR(INDEX(IHZ_HAZ_AMOUNT,100,1)&lt;&gt;"",),IF(OR(INDEX(IHZ_HAZ_NETGROSS,100,1)="",INDEX(IHZ_HAZ_UNIT,100,1)="",),FALSE,TRUE),TRUE)</f>
        <v>1</v>
      </c>
      <c r="H1107" t="str">
        <f t="shared" si="34"/>
        <v>Row 100 - For ‘Transport unit’ if ‘Amount’ is given then ‘Gross / Net’ and ‘Amount unit’ are required</v>
      </c>
      <c r="I1107" t="s">
        <v>1391</v>
      </c>
      <c r="J1107" t="b">
        <f>IF(OR(INDEX(OHZ_HAZ_AMOUNT,100,1)&lt;&gt;"",),IF(OR(INDEX(OHZ_HAZ_NETGROSS,100,1)="",INDEX(OHZ_HAZ_UNIT,100,1)="",),FALSE,TRUE),TRUE)</f>
        <v>1</v>
      </c>
      <c r="K1107" t="str">
        <f t="shared" si="35"/>
        <v>Row 100 - For ‘Transport unit’ if ‘Amount’ is given then ‘Gross / Net’ and ‘Amount unit’ are required</v>
      </c>
      <c r="L1107" t="s">
        <v>1391</v>
      </c>
    </row>
    <row r="1108" spans="7:12" x14ac:dyDescent="0.25">
      <c r="G1108" t="b">
        <f>IF(OR(INDEX(IHZ_HAZ_AMOUNT,101,1)&lt;&gt;"",),IF(OR(INDEX(IHZ_HAZ_NETGROSS,101,1)="",INDEX(IHZ_HAZ_UNIT,101,1)="",),FALSE,TRUE),TRUE)</f>
        <v>1</v>
      </c>
      <c r="H1108" t="str">
        <f t="shared" si="34"/>
        <v>Row 101 - For ‘Transport unit’ if ‘Amount’ is given then ‘Gross / Net’ and ‘Amount unit’ are required</v>
      </c>
      <c r="I1108" t="s">
        <v>1391</v>
      </c>
      <c r="J1108" t="b">
        <f>IF(OR(INDEX(OHZ_HAZ_AMOUNT,101,1)&lt;&gt;"",),IF(OR(INDEX(OHZ_HAZ_NETGROSS,101,1)="",INDEX(OHZ_HAZ_UNIT,101,1)="",),FALSE,TRUE),TRUE)</f>
        <v>1</v>
      </c>
      <c r="K1108" t="str">
        <f t="shared" si="35"/>
        <v>Row 101 - For ‘Transport unit’ if ‘Amount’ is given then ‘Gross / Net’ and ‘Amount unit’ are required</v>
      </c>
      <c r="L1108" t="s">
        <v>1391</v>
      </c>
    </row>
    <row r="1109" spans="7:12" x14ac:dyDescent="0.25">
      <c r="G1109" t="b">
        <f>IF(OR(INDEX(IHZ_HAZ_AMOUNT,102,1)&lt;&gt;"",),IF(OR(INDEX(IHZ_HAZ_NETGROSS,102,1)="",INDEX(IHZ_HAZ_UNIT,102,1)="",),FALSE,TRUE),TRUE)</f>
        <v>1</v>
      </c>
      <c r="H1109" t="str">
        <f t="shared" si="34"/>
        <v>Row 102 - For ‘Transport unit’ if ‘Amount’ is given then ‘Gross / Net’ and ‘Amount unit’ are required</v>
      </c>
      <c r="I1109" t="s">
        <v>1391</v>
      </c>
      <c r="J1109" t="b">
        <f>IF(OR(INDEX(OHZ_HAZ_AMOUNT,102,1)&lt;&gt;"",),IF(OR(INDEX(OHZ_HAZ_NETGROSS,102,1)="",INDEX(OHZ_HAZ_UNIT,102,1)="",),FALSE,TRUE),TRUE)</f>
        <v>1</v>
      </c>
      <c r="K1109" t="str">
        <f t="shared" si="35"/>
        <v>Row 102 - For ‘Transport unit’ if ‘Amount’ is given then ‘Gross / Net’ and ‘Amount unit’ are required</v>
      </c>
      <c r="L1109" t="s">
        <v>1391</v>
      </c>
    </row>
    <row r="1110" spans="7:12" x14ac:dyDescent="0.25">
      <c r="G1110" t="b">
        <f>IF(OR(INDEX(IHZ_HAZ_AMOUNT,103,1)&lt;&gt;"",),IF(OR(INDEX(IHZ_HAZ_NETGROSS,103,1)="",INDEX(IHZ_HAZ_UNIT,103,1)="",),FALSE,TRUE),TRUE)</f>
        <v>1</v>
      </c>
      <c r="H1110" t="str">
        <f t="shared" si="34"/>
        <v>Row 103 - For ‘Transport unit’ if ‘Amount’ is given then ‘Gross / Net’ and ‘Amount unit’ are required</v>
      </c>
      <c r="I1110" t="s">
        <v>1391</v>
      </c>
      <c r="J1110" t="b">
        <f>IF(OR(INDEX(OHZ_HAZ_AMOUNT,103,1)&lt;&gt;"",),IF(OR(INDEX(OHZ_HAZ_NETGROSS,103,1)="",INDEX(OHZ_HAZ_UNIT,103,1)="",),FALSE,TRUE),TRUE)</f>
        <v>1</v>
      </c>
      <c r="K1110" t="str">
        <f t="shared" si="35"/>
        <v>Row 103 - For ‘Transport unit’ if ‘Amount’ is given then ‘Gross / Net’ and ‘Amount unit’ are required</v>
      </c>
      <c r="L1110" t="s">
        <v>1391</v>
      </c>
    </row>
    <row r="1111" spans="7:12" x14ac:dyDescent="0.25">
      <c r="G1111" t="b">
        <f>IF(OR(INDEX(IHZ_HAZ_AMOUNT,104,1)&lt;&gt;"",),IF(OR(INDEX(IHZ_HAZ_NETGROSS,104,1)="",INDEX(IHZ_HAZ_UNIT,104,1)="",),FALSE,TRUE),TRUE)</f>
        <v>1</v>
      </c>
      <c r="H1111" t="str">
        <f t="shared" si="34"/>
        <v>Row 104 - For ‘Transport unit’ if ‘Amount’ is given then ‘Gross / Net’ and ‘Amount unit’ are required</v>
      </c>
      <c r="I1111" t="s">
        <v>1391</v>
      </c>
      <c r="J1111" t="b">
        <f>IF(OR(INDEX(OHZ_HAZ_AMOUNT,104,1)&lt;&gt;"",),IF(OR(INDEX(OHZ_HAZ_NETGROSS,104,1)="",INDEX(OHZ_HAZ_UNIT,104,1)="",),FALSE,TRUE),TRUE)</f>
        <v>1</v>
      </c>
      <c r="K1111" t="str">
        <f t="shared" si="35"/>
        <v>Row 104 - For ‘Transport unit’ if ‘Amount’ is given then ‘Gross / Net’ and ‘Amount unit’ are required</v>
      </c>
      <c r="L1111" t="s">
        <v>1391</v>
      </c>
    </row>
    <row r="1112" spans="7:12" x14ac:dyDescent="0.25">
      <c r="G1112" t="b">
        <f>IF(OR(INDEX(IHZ_HAZ_AMOUNT,105,1)&lt;&gt;"",),IF(OR(INDEX(IHZ_HAZ_NETGROSS,105,1)="",INDEX(IHZ_HAZ_UNIT,105,1)="",),FALSE,TRUE),TRUE)</f>
        <v>1</v>
      </c>
      <c r="H1112" t="str">
        <f t="shared" si="34"/>
        <v>Row 105 - For ‘Transport unit’ if ‘Amount’ is given then ‘Gross / Net’ and ‘Amount unit’ are required</v>
      </c>
      <c r="I1112" t="s">
        <v>1391</v>
      </c>
      <c r="J1112" t="b">
        <f>IF(OR(INDEX(OHZ_HAZ_AMOUNT,105,1)&lt;&gt;"",),IF(OR(INDEX(OHZ_HAZ_NETGROSS,105,1)="",INDEX(OHZ_HAZ_UNIT,105,1)="",),FALSE,TRUE),TRUE)</f>
        <v>1</v>
      </c>
      <c r="K1112" t="str">
        <f t="shared" si="35"/>
        <v>Row 105 - For ‘Transport unit’ if ‘Amount’ is given then ‘Gross / Net’ and ‘Amount unit’ are required</v>
      </c>
      <c r="L1112" t="s">
        <v>1391</v>
      </c>
    </row>
    <row r="1113" spans="7:12" x14ac:dyDescent="0.25">
      <c r="G1113" t="b">
        <f>IF(OR(INDEX(IHZ_HAZ_AMOUNT,106,1)&lt;&gt;"",),IF(OR(INDEX(IHZ_HAZ_NETGROSS,106,1)="",INDEX(IHZ_HAZ_UNIT,106,1)="",),FALSE,TRUE),TRUE)</f>
        <v>1</v>
      </c>
      <c r="H1113" t="str">
        <f t="shared" si="34"/>
        <v>Row 106 - For ‘Transport unit’ if ‘Amount’ is given then ‘Gross / Net’ and ‘Amount unit’ are required</v>
      </c>
      <c r="I1113" t="s">
        <v>1391</v>
      </c>
      <c r="J1113" t="b">
        <f>IF(OR(INDEX(OHZ_HAZ_AMOUNT,106,1)&lt;&gt;"",),IF(OR(INDEX(OHZ_HAZ_NETGROSS,106,1)="",INDEX(OHZ_HAZ_UNIT,106,1)="",),FALSE,TRUE),TRUE)</f>
        <v>1</v>
      </c>
      <c r="K1113" t="str">
        <f t="shared" si="35"/>
        <v>Row 106 - For ‘Transport unit’ if ‘Amount’ is given then ‘Gross / Net’ and ‘Amount unit’ are required</v>
      </c>
      <c r="L1113" t="s">
        <v>1391</v>
      </c>
    </row>
    <row r="1114" spans="7:12" x14ac:dyDescent="0.25">
      <c r="G1114" t="b">
        <f>IF(OR(INDEX(IHZ_HAZ_AMOUNT,107,1)&lt;&gt;"",),IF(OR(INDEX(IHZ_HAZ_NETGROSS,107,1)="",INDEX(IHZ_HAZ_UNIT,107,1)="",),FALSE,TRUE),TRUE)</f>
        <v>1</v>
      </c>
      <c r="H1114" t="str">
        <f t="shared" si="34"/>
        <v>Row 107 - For ‘Transport unit’ if ‘Amount’ is given then ‘Gross / Net’ and ‘Amount unit’ are required</v>
      </c>
      <c r="I1114" t="s">
        <v>1391</v>
      </c>
      <c r="J1114" t="b">
        <f>IF(OR(INDEX(OHZ_HAZ_AMOUNT,107,1)&lt;&gt;"",),IF(OR(INDEX(OHZ_HAZ_NETGROSS,107,1)="",INDEX(OHZ_HAZ_UNIT,107,1)="",),FALSE,TRUE),TRUE)</f>
        <v>1</v>
      </c>
      <c r="K1114" t="str">
        <f t="shared" si="35"/>
        <v>Row 107 - For ‘Transport unit’ if ‘Amount’ is given then ‘Gross / Net’ and ‘Amount unit’ are required</v>
      </c>
      <c r="L1114" t="s">
        <v>1391</v>
      </c>
    </row>
    <row r="1115" spans="7:12" x14ac:dyDescent="0.25">
      <c r="G1115" t="b">
        <f>IF(OR(INDEX(IHZ_HAZ_AMOUNT,108,1)&lt;&gt;"",),IF(OR(INDEX(IHZ_HAZ_NETGROSS,108,1)="",INDEX(IHZ_HAZ_UNIT,108,1)="",),FALSE,TRUE),TRUE)</f>
        <v>1</v>
      </c>
      <c r="H1115" t="str">
        <f t="shared" si="34"/>
        <v>Row 108 - For ‘Transport unit’ if ‘Amount’ is given then ‘Gross / Net’ and ‘Amount unit’ are required</v>
      </c>
      <c r="I1115" t="s">
        <v>1391</v>
      </c>
      <c r="J1115" t="b">
        <f>IF(OR(INDEX(OHZ_HAZ_AMOUNT,108,1)&lt;&gt;"",),IF(OR(INDEX(OHZ_HAZ_NETGROSS,108,1)="",INDEX(OHZ_HAZ_UNIT,108,1)="",),FALSE,TRUE),TRUE)</f>
        <v>1</v>
      </c>
      <c r="K1115" t="str">
        <f t="shared" si="35"/>
        <v>Row 108 - For ‘Transport unit’ if ‘Amount’ is given then ‘Gross / Net’ and ‘Amount unit’ are required</v>
      </c>
      <c r="L1115" t="s">
        <v>1391</v>
      </c>
    </row>
    <row r="1116" spans="7:12" x14ac:dyDescent="0.25">
      <c r="G1116" t="b">
        <f>IF(OR(INDEX(IHZ_HAZ_AMOUNT,109,1)&lt;&gt;"",),IF(OR(INDEX(IHZ_HAZ_NETGROSS,109,1)="",INDEX(IHZ_HAZ_UNIT,109,1)="",),FALSE,TRUE),TRUE)</f>
        <v>1</v>
      </c>
      <c r="H1116" t="str">
        <f t="shared" si="34"/>
        <v>Row 109 - For ‘Transport unit’ if ‘Amount’ is given then ‘Gross / Net’ and ‘Amount unit’ are required</v>
      </c>
      <c r="I1116" t="s">
        <v>1391</v>
      </c>
      <c r="J1116" t="b">
        <f>IF(OR(INDEX(OHZ_HAZ_AMOUNT,109,1)&lt;&gt;"",),IF(OR(INDEX(OHZ_HAZ_NETGROSS,109,1)="",INDEX(OHZ_HAZ_UNIT,109,1)="",),FALSE,TRUE),TRUE)</f>
        <v>1</v>
      </c>
      <c r="K1116" t="str">
        <f t="shared" si="35"/>
        <v>Row 109 - For ‘Transport unit’ if ‘Amount’ is given then ‘Gross / Net’ and ‘Amount unit’ are required</v>
      </c>
      <c r="L1116" t="s">
        <v>1391</v>
      </c>
    </row>
    <row r="1117" spans="7:12" x14ac:dyDescent="0.25">
      <c r="G1117" t="b">
        <f>IF(OR(INDEX(IHZ_HAZ_AMOUNT,110,1)&lt;&gt;"",),IF(OR(INDEX(IHZ_HAZ_NETGROSS,110,1)="",INDEX(IHZ_HAZ_UNIT,110,1)="",),FALSE,TRUE),TRUE)</f>
        <v>1</v>
      </c>
      <c r="H1117" t="str">
        <f t="shared" si="34"/>
        <v>Row 110 - For ‘Transport unit’ if ‘Amount’ is given then ‘Gross / Net’ and ‘Amount unit’ are required</v>
      </c>
      <c r="I1117" t="s">
        <v>1391</v>
      </c>
      <c r="J1117" t="b">
        <f>IF(OR(INDEX(OHZ_HAZ_AMOUNT,110,1)&lt;&gt;"",),IF(OR(INDEX(OHZ_HAZ_NETGROSS,110,1)="",INDEX(OHZ_HAZ_UNIT,110,1)="",),FALSE,TRUE),TRUE)</f>
        <v>1</v>
      </c>
      <c r="K1117" t="str">
        <f t="shared" si="35"/>
        <v>Row 110 - For ‘Transport unit’ if ‘Amount’ is given then ‘Gross / Net’ and ‘Amount unit’ are required</v>
      </c>
      <c r="L1117" t="s">
        <v>1391</v>
      </c>
    </row>
    <row r="1118" spans="7:12" x14ac:dyDescent="0.25">
      <c r="G1118" t="b">
        <f>IF(OR(INDEX(IHZ_HAZ_AMOUNT,111,1)&lt;&gt;"",),IF(OR(INDEX(IHZ_HAZ_NETGROSS,111,1)="",INDEX(IHZ_HAZ_UNIT,111,1)="",),FALSE,TRUE),TRUE)</f>
        <v>1</v>
      </c>
      <c r="H1118" t="str">
        <f t="shared" si="34"/>
        <v>Row 111 - For ‘Transport unit’ if ‘Amount’ is given then ‘Gross / Net’ and ‘Amount unit’ are required</v>
      </c>
      <c r="I1118" t="s">
        <v>1391</v>
      </c>
      <c r="J1118" t="b">
        <f>IF(OR(INDEX(OHZ_HAZ_AMOUNT,111,1)&lt;&gt;"",),IF(OR(INDEX(OHZ_HAZ_NETGROSS,111,1)="",INDEX(OHZ_HAZ_UNIT,111,1)="",),FALSE,TRUE),TRUE)</f>
        <v>1</v>
      </c>
      <c r="K1118" t="str">
        <f t="shared" si="35"/>
        <v>Row 111 - For ‘Transport unit’ if ‘Amount’ is given then ‘Gross / Net’ and ‘Amount unit’ are required</v>
      </c>
      <c r="L1118" t="s">
        <v>1391</v>
      </c>
    </row>
    <row r="1119" spans="7:12" x14ac:dyDescent="0.25">
      <c r="G1119" t="b">
        <f>IF(OR(INDEX(IHZ_HAZ_AMOUNT,112,1)&lt;&gt;"",),IF(OR(INDEX(IHZ_HAZ_NETGROSS,112,1)="",INDEX(IHZ_HAZ_UNIT,112,1)="",),FALSE,TRUE),TRUE)</f>
        <v>1</v>
      </c>
      <c r="H1119" t="str">
        <f t="shared" si="34"/>
        <v>Row 112 - For ‘Transport unit’ if ‘Amount’ is given then ‘Gross / Net’ and ‘Amount unit’ are required</v>
      </c>
      <c r="I1119" t="s">
        <v>1391</v>
      </c>
      <c r="J1119" t="b">
        <f>IF(OR(INDEX(OHZ_HAZ_AMOUNT,112,1)&lt;&gt;"",),IF(OR(INDEX(OHZ_HAZ_NETGROSS,112,1)="",INDEX(OHZ_HAZ_UNIT,112,1)="",),FALSE,TRUE),TRUE)</f>
        <v>1</v>
      </c>
      <c r="K1119" t="str">
        <f t="shared" si="35"/>
        <v>Row 112 - For ‘Transport unit’ if ‘Amount’ is given then ‘Gross / Net’ and ‘Amount unit’ are required</v>
      </c>
      <c r="L1119" t="s">
        <v>1391</v>
      </c>
    </row>
    <row r="1120" spans="7:12" x14ac:dyDescent="0.25">
      <c r="G1120" t="b">
        <f>IF(OR(INDEX(IHZ_HAZ_AMOUNT,113,1)&lt;&gt;"",),IF(OR(INDEX(IHZ_HAZ_NETGROSS,113,1)="",INDEX(IHZ_HAZ_UNIT,113,1)="",),FALSE,TRUE),TRUE)</f>
        <v>1</v>
      </c>
      <c r="H1120" t="str">
        <f t="shared" si="34"/>
        <v>Row 113 - For ‘Transport unit’ if ‘Amount’ is given then ‘Gross / Net’ and ‘Amount unit’ are required</v>
      </c>
      <c r="I1120" t="s">
        <v>1391</v>
      </c>
      <c r="J1120" t="b">
        <f>IF(OR(INDEX(OHZ_HAZ_AMOUNT,113,1)&lt;&gt;"",),IF(OR(INDEX(OHZ_HAZ_NETGROSS,113,1)="",INDEX(OHZ_HAZ_UNIT,113,1)="",),FALSE,TRUE),TRUE)</f>
        <v>1</v>
      </c>
      <c r="K1120" t="str">
        <f t="shared" si="35"/>
        <v>Row 113 - For ‘Transport unit’ if ‘Amount’ is given then ‘Gross / Net’ and ‘Amount unit’ are required</v>
      </c>
      <c r="L1120" t="s">
        <v>1391</v>
      </c>
    </row>
    <row r="1121" spans="7:12" x14ac:dyDescent="0.25">
      <c r="G1121" t="b">
        <f>IF(OR(INDEX(IHZ_HAZ_AMOUNT,114,1)&lt;&gt;"",),IF(OR(INDEX(IHZ_HAZ_NETGROSS,114,1)="",INDEX(IHZ_HAZ_UNIT,114,1)="",),FALSE,TRUE),TRUE)</f>
        <v>1</v>
      </c>
      <c r="H1121" t="str">
        <f t="shared" si="34"/>
        <v>Row 114 - For ‘Transport unit’ if ‘Amount’ is given then ‘Gross / Net’ and ‘Amount unit’ are required</v>
      </c>
      <c r="I1121" t="s">
        <v>1391</v>
      </c>
      <c r="J1121" t="b">
        <f>IF(OR(INDEX(OHZ_HAZ_AMOUNT,114,1)&lt;&gt;"",),IF(OR(INDEX(OHZ_HAZ_NETGROSS,114,1)="",INDEX(OHZ_HAZ_UNIT,114,1)="",),FALSE,TRUE),TRUE)</f>
        <v>1</v>
      </c>
      <c r="K1121" t="str">
        <f t="shared" si="35"/>
        <v>Row 114 - For ‘Transport unit’ if ‘Amount’ is given then ‘Gross / Net’ and ‘Amount unit’ are required</v>
      </c>
      <c r="L1121" t="s">
        <v>1391</v>
      </c>
    </row>
    <row r="1122" spans="7:12" x14ac:dyDescent="0.25">
      <c r="G1122" t="b">
        <f>IF(OR(INDEX(IHZ_HAZ_AMOUNT,115,1)&lt;&gt;"",),IF(OR(INDEX(IHZ_HAZ_NETGROSS,115,1)="",INDEX(IHZ_HAZ_UNIT,115,1)="",),FALSE,TRUE),TRUE)</f>
        <v>1</v>
      </c>
      <c r="H1122" t="str">
        <f t="shared" si="34"/>
        <v>Row 115 - For ‘Transport unit’ if ‘Amount’ is given then ‘Gross / Net’ and ‘Amount unit’ are required</v>
      </c>
      <c r="I1122" t="s">
        <v>1391</v>
      </c>
      <c r="J1122" t="b">
        <f>IF(OR(INDEX(OHZ_HAZ_AMOUNT,115,1)&lt;&gt;"",),IF(OR(INDEX(OHZ_HAZ_NETGROSS,115,1)="",INDEX(OHZ_HAZ_UNIT,115,1)="",),FALSE,TRUE),TRUE)</f>
        <v>1</v>
      </c>
      <c r="K1122" t="str">
        <f t="shared" si="35"/>
        <v>Row 115 - For ‘Transport unit’ if ‘Amount’ is given then ‘Gross / Net’ and ‘Amount unit’ are required</v>
      </c>
      <c r="L1122" t="s">
        <v>1391</v>
      </c>
    </row>
    <row r="1123" spans="7:12" x14ac:dyDescent="0.25">
      <c r="G1123" t="b">
        <f>IF(OR(INDEX(IHZ_HAZ_AMOUNT,116,1)&lt;&gt;"",),IF(OR(INDEX(IHZ_HAZ_NETGROSS,116,1)="",INDEX(IHZ_HAZ_UNIT,116,1)="",),FALSE,TRUE),TRUE)</f>
        <v>1</v>
      </c>
      <c r="H1123" t="str">
        <f t="shared" si="34"/>
        <v>Row 116 - For ‘Transport unit’ if ‘Amount’ is given then ‘Gross / Net’ and ‘Amount unit’ are required</v>
      </c>
      <c r="I1123" t="s">
        <v>1391</v>
      </c>
      <c r="J1123" t="b">
        <f>IF(OR(INDEX(OHZ_HAZ_AMOUNT,116,1)&lt;&gt;"",),IF(OR(INDEX(OHZ_HAZ_NETGROSS,116,1)="",INDEX(OHZ_HAZ_UNIT,116,1)="",),FALSE,TRUE),TRUE)</f>
        <v>1</v>
      </c>
      <c r="K1123" t="str">
        <f t="shared" si="35"/>
        <v>Row 116 - For ‘Transport unit’ if ‘Amount’ is given then ‘Gross / Net’ and ‘Amount unit’ are required</v>
      </c>
      <c r="L1123" t="s">
        <v>1391</v>
      </c>
    </row>
    <row r="1124" spans="7:12" x14ac:dyDescent="0.25">
      <c r="G1124" t="b">
        <f>IF(OR(INDEX(IHZ_HAZ_AMOUNT,117,1)&lt;&gt;"",),IF(OR(INDEX(IHZ_HAZ_NETGROSS,117,1)="",INDEX(IHZ_HAZ_UNIT,117,1)="",),FALSE,TRUE),TRUE)</f>
        <v>1</v>
      </c>
      <c r="H1124" t="str">
        <f t="shared" si="34"/>
        <v>Row 117 - For ‘Transport unit’ if ‘Amount’ is given then ‘Gross / Net’ and ‘Amount unit’ are required</v>
      </c>
      <c r="I1124" t="s">
        <v>1391</v>
      </c>
      <c r="J1124" t="b">
        <f>IF(OR(INDEX(OHZ_HAZ_AMOUNT,117,1)&lt;&gt;"",),IF(OR(INDEX(OHZ_HAZ_NETGROSS,117,1)="",INDEX(OHZ_HAZ_UNIT,117,1)="",),FALSE,TRUE),TRUE)</f>
        <v>1</v>
      </c>
      <c r="K1124" t="str">
        <f t="shared" si="35"/>
        <v>Row 117 - For ‘Transport unit’ if ‘Amount’ is given then ‘Gross / Net’ and ‘Amount unit’ are required</v>
      </c>
      <c r="L1124" t="s">
        <v>1391</v>
      </c>
    </row>
    <row r="1125" spans="7:12" x14ac:dyDescent="0.25">
      <c r="G1125" t="b">
        <f>IF(OR(INDEX(IHZ_HAZ_AMOUNT,118,1)&lt;&gt;"",),IF(OR(INDEX(IHZ_HAZ_NETGROSS,118,1)="",INDEX(IHZ_HAZ_UNIT,118,1)="",),FALSE,TRUE),TRUE)</f>
        <v>1</v>
      </c>
      <c r="H1125" t="str">
        <f t="shared" si="34"/>
        <v>Row 118 - For ‘Transport unit’ if ‘Amount’ is given then ‘Gross / Net’ and ‘Amount unit’ are required</v>
      </c>
      <c r="I1125" t="s">
        <v>1391</v>
      </c>
      <c r="J1125" t="b">
        <f>IF(OR(INDEX(OHZ_HAZ_AMOUNT,118,1)&lt;&gt;"",),IF(OR(INDEX(OHZ_HAZ_NETGROSS,118,1)="",INDEX(OHZ_HAZ_UNIT,118,1)="",),FALSE,TRUE),TRUE)</f>
        <v>1</v>
      </c>
      <c r="K1125" t="str">
        <f t="shared" si="35"/>
        <v>Row 118 - For ‘Transport unit’ if ‘Amount’ is given then ‘Gross / Net’ and ‘Amount unit’ are required</v>
      </c>
      <c r="L1125" t="s">
        <v>1391</v>
      </c>
    </row>
    <row r="1126" spans="7:12" x14ac:dyDescent="0.25">
      <c r="G1126" t="b">
        <f>IF(OR(INDEX(IHZ_HAZ_AMOUNT,119,1)&lt;&gt;"",),IF(OR(INDEX(IHZ_HAZ_NETGROSS,119,1)="",INDEX(IHZ_HAZ_UNIT,119,1)="",),FALSE,TRUE),TRUE)</f>
        <v>1</v>
      </c>
      <c r="H1126" t="str">
        <f t="shared" si="34"/>
        <v>Row 119 - For ‘Transport unit’ if ‘Amount’ is given then ‘Gross / Net’ and ‘Amount unit’ are required</v>
      </c>
      <c r="I1126" t="s">
        <v>1391</v>
      </c>
      <c r="J1126" t="b">
        <f>IF(OR(INDEX(OHZ_HAZ_AMOUNT,119,1)&lt;&gt;"",),IF(OR(INDEX(OHZ_HAZ_NETGROSS,119,1)="",INDEX(OHZ_HAZ_UNIT,119,1)="",),FALSE,TRUE),TRUE)</f>
        <v>1</v>
      </c>
      <c r="K1126" t="str">
        <f t="shared" si="35"/>
        <v>Row 119 - For ‘Transport unit’ if ‘Amount’ is given then ‘Gross / Net’ and ‘Amount unit’ are required</v>
      </c>
      <c r="L1126" t="s">
        <v>1391</v>
      </c>
    </row>
    <row r="1127" spans="7:12" x14ac:dyDescent="0.25">
      <c r="G1127" t="b">
        <f>IF(OR(INDEX(IHZ_HAZ_AMOUNT,120,1)&lt;&gt;"",),IF(OR(INDEX(IHZ_HAZ_NETGROSS,120,1)="",INDEX(IHZ_HAZ_UNIT,120,1)="",),FALSE,TRUE),TRUE)</f>
        <v>1</v>
      </c>
      <c r="H1127" t="str">
        <f t="shared" si="34"/>
        <v>Row 120 - For ‘Transport unit’ if ‘Amount’ is given then ‘Gross / Net’ and ‘Amount unit’ are required</v>
      </c>
      <c r="I1127" t="s">
        <v>1391</v>
      </c>
      <c r="J1127" t="b">
        <f>IF(OR(INDEX(OHZ_HAZ_AMOUNT,120,1)&lt;&gt;"",),IF(OR(INDEX(OHZ_HAZ_NETGROSS,120,1)="",INDEX(OHZ_HAZ_UNIT,120,1)="",),FALSE,TRUE),TRUE)</f>
        <v>1</v>
      </c>
      <c r="K1127" t="str">
        <f t="shared" si="35"/>
        <v>Row 120 - For ‘Transport unit’ if ‘Amount’ is given then ‘Gross / Net’ and ‘Amount unit’ are required</v>
      </c>
      <c r="L1127" t="s">
        <v>1391</v>
      </c>
    </row>
    <row r="1128" spans="7:12" x14ac:dyDescent="0.25">
      <c r="G1128" t="b">
        <f>IF(OR(INDEX(IHZ_HAZ_AMOUNT,121,1)&lt;&gt;"",),IF(OR(INDEX(IHZ_HAZ_NETGROSS,121,1)="",INDEX(IHZ_HAZ_UNIT,121,1)="",),FALSE,TRUE),TRUE)</f>
        <v>1</v>
      </c>
      <c r="H1128" t="str">
        <f t="shared" si="34"/>
        <v>Row 121 - For ‘Transport unit’ if ‘Amount’ is given then ‘Gross / Net’ and ‘Amount unit’ are required</v>
      </c>
      <c r="I1128" t="s">
        <v>1391</v>
      </c>
      <c r="J1128" t="b">
        <f>IF(OR(INDEX(OHZ_HAZ_AMOUNT,121,1)&lt;&gt;"",),IF(OR(INDEX(OHZ_HAZ_NETGROSS,121,1)="",INDEX(OHZ_HAZ_UNIT,121,1)="",),FALSE,TRUE),TRUE)</f>
        <v>1</v>
      </c>
      <c r="K1128" t="str">
        <f t="shared" si="35"/>
        <v>Row 121 - For ‘Transport unit’ if ‘Amount’ is given then ‘Gross / Net’ and ‘Amount unit’ are required</v>
      </c>
      <c r="L1128" t="s">
        <v>1391</v>
      </c>
    </row>
    <row r="1129" spans="7:12" x14ac:dyDescent="0.25">
      <c r="G1129" t="b">
        <f>IF(OR(INDEX(IHZ_HAZ_AMOUNT,122,1)&lt;&gt;"",),IF(OR(INDEX(IHZ_HAZ_NETGROSS,122,1)="",INDEX(IHZ_HAZ_UNIT,122,1)="",),FALSE,TRUE),TRUE)</f>
        <v>1</v>
      </c>
      <c r="H1129" t="str">
        <f t="shared" si="34"/>
        <v>Row 122 - For ‘Transport unit’ if ‘Amount’ is given then ‘Gross / Net’ and ‘Amount unit’ are required</v>
      </c>
      <c r="I1129" t="s">
        <v>1391</v>
      </c>
      <c r="J1129" t="b">
        <f>IF(OR(INDEX(OHZ_HAZ_AMOUNT,122,1)&lt;&gt;"",),IF(OR(INDEX(OHZ_HAZ_NETGROSS,122,1)="",INDEX(OHZ_HAZ_UNIT,122,1)="",),FALSE,TRUE),TRUE)</f>
        <v>1</v>
      </c>
      <c r="K1129" t="str">
        <f t="shared" si="35"/>
        <v>Row 122 - For ‘Transport unit’ if ‘Amount’ is given then ‘Gross / Net’ and ‘Amount unit’ are required</v>
      </c>
      <c r="L1129" t="s">
        <v>1391</v>
      </c>
    </row>
    <row r="1130" spans="7:12" x14ac:dyDescent="0.25">
      <c r="G1130" t="b">
        <f>IF(OR(INDEX(IHZ_HAZ_AMOUNT,123,1)&lt;&gt;"",),IF(OR(INDEX(IHZ_HAZ_NETGROSS,123,1)="",INDEX(IHZ_HAZ_UNIT,123,1)="",),FALSE,TRUE),TRUE)</f>
        <v>1</v>
      </c>
      <c r="H1130" t="str">
        <f t="shared" si="34"/>
        <v>Row 123 - For ‘Transport unit’ if ‘Amount’ is given then ‘Gross / Net’ and ‘Amount unit’ are required</v>
      </c>
      <c r="I1130" t="s">
        <v>1391</v>
      </c>
      <c r="J1130" t="b">
        <f>IF(OR(INDEX(OHZ_HAZ_AMOUNT,123,1)&lt;&gt;"",),IF(OR(INDEX(OHZ_HAZ_NETGROSS,123,1)="",INDEX(OHZ_HAZ_UNIT,123,1)="",),FALSE,TRUE),TRUE)</f>
        <v>1</v>
      </c>
      <c r="K1130" t="str">
        <f t="shared" si="35"/>
        <v>Row 123 - For ‘Transport unit’ if ‘Amount’ is given then ‘Gross / Net’ and ‘Amount unit’ are required</v>
      </c>
      <c r="L1130" t="s">
        <v>1391</v>
      </c>
    </row>
    <row r="1131" spans="7:12" x14ac:dyDescent="0.25">
      <c r="G1131" t="b">
        <f>IF(OR(INDEX(IHZ_HAZ_AMOUNT,124,1)&lt;&gt;"",),IF(OR(INDEX(IHZ_HAZ_NETGROSS,124,1)="",INDEX(IHZ_HAZ_UNIT,124,1)="",),FALSE,TRUE),TRUE)</f>
        <v>1</v>
      </c>
      <c r="H1131" t="str">
        <f t="shared" si="34"/>
        <v>Row 124 - For ‘Transport unit’ if ‘Amount’ is given then ‘Gross / Net’ and ‘Amount unit’ are required</v>
      </c>
      <c r="I1131" t="s">
        <v>1391</v>
      </c>
      <c r="J1131" t="b">
        <f>IF(OR(INDEX(OHZ_HAZ_AMOUNT,124,1)&lt;&gt;"",),IF(OR(INDEX(OHZ_HAZ_NETGROSS,124,1)="",INDEX(OHZ_HAZ_UNIT,124,1)="",),FALSE,TRUE),TRUE)</f>
        <v>1</v>
      </c>
      <c r="K1131" t="str">
        <f t="shared" si="35"/>
        <v>Row 124 - For ‘Transport unit’ if ‘Amount’ is given then ‘Gross / Net’ and ‘Amount unit’ are required</v>
      </c>
      <c r="L1131" t="s">
        <v>1391</v>
      </c>
    </row>
    <row r="1132" spans="7:12" x14ac:dyDescent="0.25">
      <c r="G1132" t="b">
        <f>IF(OR(INDEX(IHZ_HAZ_AMOUNT,125,1)&lt;&gt;"",),IF(OR(INDEX(IHZ_HAZ_NETGROSS,125,1)="",INDEX(IHZ_HAZ_UNIT,125,1)="",),FALSE,TRUE),TRUE)</f>
        <v>1</v>
      </c>
      <c r="H1132" t="str">
        <f t="shared" si="34"/>
        <v>Row 125 - For ‘Transport unit’ if ‘Amount’ is given then ‘Gross / Net’ and ‘Amount unit’ are required</v>
      </c>
      <c r="I1132" t="s">
        <v>1391</v>
      </c>
      <c r="J1132" t="b">
        <f>IF(OR(INDEX(OHZ_HAZ_AMOUNT,125,1)&lt;&gt;"",),IF(OR(INDEX(OHZ_HAZ_NETGROSS,125,1)="",INDEX(OHZ_HAZ_UNIT,125,1)="",),FALSE,TRUE),TRUE)</f>
        <v>1</v>
      </c>
      <c r="K1132" t="str">
        <f t="shared" si="35"/>
        <v>Row 125 - For ‘Transport unit’ if ‘Amount’ is given then ‘Gross / Net’ and ‘Amount unit’ are required</v>
      </c>
      <c r="L1132" t="s">
        <v>1391</v>
      </c>
    </row>
    <row r="1133" spans="7:12" x14ac:dyDescent="0.25">
      <c r="G1133" t="b">
        <f>IF(OR(INDEX(IHZ_HAZ_AMOUNT,126,1)&lt;&gt;"",),IF(OR(INDEX(IHZ_HAZ_NETGROSS,126,1)="",INDEX(IHZ_HAZ_UNIT,126,1)="",),FALSE,TRUE),TRUE)</f>
        <v>1</v>
      </c>
      <c r="H1133" t="str">
        <f t="shared" si="34"/>
        <v>Row 126 - For ‘Transport unit’ if ‘Amount’ is given then ‘Gross / Net’ and ‘Amount unit’ are required</v>
      </c>
      <c r="I1133" t="s">
        <v>1391</v>
      </c>
      <c r="J1133" t="b">
        <f>IF(OR(INDEX(OHZ_HAZ_AMOUNT,126,1)&lt;&gt;"",),IF(OR(INDEX(OHZ_HAZ_NETGROSS,126,1)="",INDEX(OHZ_HAZ_UNIT,126,1)="",),FALSE,TRUE),TRUE)</f>
        <v>1</v>
      </c>
      <c r="K1133" t="str">
        <f t="shared" si="35"/>
        <v>Row 126 - For ‘Transport unit’ if ‘Amount’ is given then ‘Gross / Net’ and ‘Amount unit’ are required</v>
      </c>
      <c r="L1133" t="s">
        <v>1391</v>
      </c>
    </row>
    <row r="1134" spans="7:12" x14ac:dyDescent="0.25">
      <c r="G1134" t="b">
        <f>IF(OR(INDEX(IHZ_HAZ_AMOUNT,127,1)&lt;&gt;"",),IF(OR(INDEX(IHZ_HAZ_NETGROSS,127,1)="",INDEX(IHZ_HAZ_UNIT,127,1)="",),FALSE,TRUE),TRUE)</f>
        <v>1</v>
      </c>
      <c r="H1134" t="str">
        <f t="shared" si="34"/>
        <v>Row 127 - For ‘Transport unit’ if ‘Amount’ is given then ‘Gross / Net’ and ‘Amount unit’ are required</v>
      </c>
      <c r="I1134" t="s">
        <v>1391</v>
      </c>
      <c r="J1134" t="b">
        <f>IF(OR(INDEX(OHZ_HAZ_AMOUNT,127,1)&lt;&gt;"",),IF(OR(INDEX(OHZ_HAZ_NETGROSS,127,1)="",INDEX(OHZ_HAZ_UNIT,127,1)="",),FALSE,TRUE),TRUE)</f>
        <v>1</v>
      </c>
      <c r="K1134" t="str">
        <f t="shared" si="35"/>
        <v>Row 127 - For ‘Transport unit’ if ‘Amount’ is given then ‘Gross / Net’ and ‘Amount unit’ are required</v>
      </c>
      <c r="L1134" t="s">
        <v>1391</v>
      </c>
    </row>
    <row r="1135" spans="7:12" x14ac:dyDescent="0.25">
      <c r="G1135" t="b">
        <f>IF(OR(INDEX(IHZ_HAZ_AMOUNT,128,1)&lt;&gt;"",),IF(OR(INDEX(IHZ_HAZ_NETGROSS,128,1)="",INDEX(IHZ_HAZ_UNIT,128,1)="",),FALSE,TRUE),TRUE)</f>
        <v>1</v>
      </c>
      <c r="H1135" t="str">
        <f t="shared" si="34"/>
        <v>Row 128 - For ‘Transport unit’ if ‘Amount’ is given then ‘Gross / Net’ and ‘Amount unit’ are required</v>
      </c>
      <c r="I1135" t="s">
        <v>1391</v>
      </c>
      <c r="J1135" t="b">
        <f>IF(OR(INDEX(OHZ_HAZ_AMOUNT,128,1)&lt;&gt;"",),IF(OR(INDEX(OHZ_HAZ_NETGROSS,128,1)="",INDEX(OHZ_HAZ_UNIT,128,1)="",),FALSE,TRUE),TRUE)</f>
        <v>1</v>
      </c>
      <c r="K1135" t="str">
        <f t="shared" si="35"/>
        <v>Row 128 - For ‘Transport unit’ if ‘Amount’ is given then ‘Gross / Net’ and ‘Amount unit’ are required</v>
      </c>
      <c r="L1135" t="s">
        <v>1391</v>
      </c>
    </row>
    <row r="1136" spans="7:12" x14ac:dyDescent="0.25">
      <c r="G1136" t="b">
        <f>IF(OR(INDEX(IHZ_HAZ_AMOUNT,129,1)&lt;&gt;"",),IF(OR(INDEX(IHZ_HAZ_NETGROSS,129,1)="",INDEX(IHZ_HAZ_UNIT,129,1)="",),FALSE,TRUE),TRUE)</f>
        <v>1</v>
      </c>
      <c r="H1136" t="str">
        <f t="shared" si="34"/>
        <v>Row 129 - For ‘Transport unit’ if ‘Amount’ is given then ‘Gross / Net’ and ‘Amount unit’ are required</v>
      </c>
      <c r="I1136" t="s">
        <v>1391</v>
      </c>
      <c r="J1136" t="b">
        <f>IF(OR(INDEX(OHZ_HAZ_AMOUNT,129,1)&lt;&gt;"",),IF(OR(INDEX(OHZ_HAZ_NETGROSS,129,1)="",INDEX(OHZ_HAZ_UNIT,129,1)="",),FALSE,TRUE),TRUE)</f>
        <v>1</v>
      </c>
      <c r="K1136" t="str">
        <f t="shared" si="35"/>
        <v>Row 129 - For ‘Transport unit’ if ‘Amount’ is given then ‘Gross / Net’ and ‘Amount unit’ are required</v>
      </c>
      <c r="L1136" t="s">
        <v>1391</v>
      </c>
    </row>
    <row r="1137" spans="7:12" x14ac:dyDescent="0.25">
      <c r="G1137" t="b">
        <f>IF(OR(INDEX(IHZ_HAZ_AMOUNT,130,1)&lt;&gt;"",),IF(OR(INDEX(IHZ_HAZ_NETGROSS,130,1)="",INDEX(IHZ_HAZ_UNIT,130,1)="",),FALSE,TRUE),TRUE)</f>
        <v>1</v>
      </c>
      <c r="H1137" t="str">
        <f t="shared" ref="H1137:H1200" si="36">T130&amp;$V$5</f>
        <v>Row 130 - For ‘Transport unit’ if ‘Amount’ is given then ‘Gross / Net’ and ‘Amount unit’ are required</v>
      </c>
      <c r="I1137" t="s">
        <v>1391</v>
      </c>
      <c r="J1137" t="b">
        <f>IF(OR(INDEX(OHZ_HAZ_AMOUNT,130,1)&lt;&gt;"",),IF(OR(INDEX(OHZ_HAZ_NETGROSS,130,1)="",INDEX(OHZ_HAZ_UNIT,130,1)="",),FALSE,TRUE),TRUE)</f>
        <v>1</v>
      </c>
      <c r="K1137" t="str">
        <f t="shared" ref="K1137:K1200" si="37">T130&amp;$V$5</f>
        <v>Row 130 - For ‘Transport unit’ if ‘Amount’ is given then ‘Gross / Net’ and ‘Amount unit’ are required</v>
      </c>
      <c r="L1137" t="s">
        <v>1391</v>
      </c>
    </row>
    <row r="1138" spans="7:12" x14ac:dyDescent="0.25">
      <c r="G1138" t="b">
        <f>IF(OR(INDEX(IHZ_HAZ_AMOUNT,131,1)&lt;&gt;"",),IF(OR(INDEX(IHZ_HAZ_NETGROSS,131,1)="",INDEX(IHZ_HAZ_UNIT,131,1)="",),FALSE,TRUE),TRUE)</f>
        <v>1</v>
      </c>
      <c r="H1138" t="str">
        <f t="shared" si="36"/>
        <v>Row 131 - For ‘Transport unit’ if ‘Amount’ is given then ‘Gross / Net’ and ‘Amount unit’ are required</v>
      </c>
      <c r="I1138" t="s">
        <v>1391</v>
      </c>
      <c r="J1138" t="b">
        <f>IF(OR(INDEX(OHZ_HAZ_AMOUNT,131,1)&lt;&gt;"",),IF(OR(INDEX(OHZ_HAZ_NETGROSS,131,1)="",INDEX(OHZ_HAZ_UNIT,131,1)="",),FALSE,TRUE),TRUE)</f>
        <v>1</v>
      </c>
      <c r="K1138" t="str">
        <f t="shared" si="37"/>
        <v>Row 131 - For ‘Transport unit’ if ‘Amount’ is given then ‘Gross / Net’ and ‘Amount unit’ are required</v>
      </c>
      <c r="L1138" t="s">
        <v>1391</v>
      </c>
    </row>
    <row r="1139" spans="7:12" x14ac:dyDescent="0.25">
      <c r="G1139" t="b">
        <f>IF(OR(INDEX(IHZ_HAZ_AMOUNT,132,1)&lt;&gt;"",),IF(OR(INDEX(IHZ_HAZ_NETGROSS,132,1)="",INDEX(IHZ_HAZ_UNIT,132,1)="",),FALSE,TRUE),TRUE)</f>
        <v>1</v>
      </c>
      <c r="H1139" t="str">
        <f t="shared" si="36"/>
        <v>Row 132 - For ‘Transport unit’ if ‘Amount’ is given then ‘Gross / Net’ and ‘Amount unit’ are required</v>
      </c>
      <c r="I1139" t="s">
        <v>1391</v>
      </c>
      <c r="J1139" t="b">
        <f>IF(OR(INDEX(OHZ_HAZ_AMOUNT,132,1)&lt;&gt;"",),IF(OR(INDEX(OHZ_HAZ_NETGROSS,132,1)="",INDEX(OHZ_HAZ_UNIT,132,1)="",),FALSE,TRUE),TRUE)</f>
        <v>1</v>
      </c>
      <c r="K1139" t="str">
        <f t="shared" si="37"/>
        <v>Row 132 - For ‘Transport unit’ if ‘Amount’ is given then ‘Gross / Net’ and ‘Amount unit’ are required</v>
      </c>
      <c r="L1139" t="s">
        <v>1391</v>
      </c>
    </row>
    <row r="1140" spans="7:12" x14ac:dyDescent="0.25">
      <c r="G1140" t="b">
        <f>IF(OR(INDEX(IHZ_HAZ_AMOUNT,133,1)&lt;&gt;"",),IF(OR(INDEX(IHZ_HAZ_NETGROSS,133,1)="",INDEX(IHZ_HAZ_UNIT,133,1)="",),FALSE,TRUE),TRUE)</f>
        <v>1</v>
      </c>
      <c r="H1140" t="str">
        <f t="shared" si="36"/>
        <v>Row 133 - For ‘Transport unit’ if ‘Amount’ is given then ‘Gross / Net’ and ‘Amount unit’ are required</v>
      </c>
      <c r="I1140" t="s">
        <v>1391</v>
      </c>
      <c r="J1140" t="b">
        <f>IF(OR(INDEX(OHZ_HAZ_AMOUNT,133,1)&lt;&gt;"",),IF(OR(INDEX(OHZ_HAZ_NETGROSS,133,1)="",INDEX(OHZ_HAZ_UNIT,133,1)="",),FALSE,TRUE),TRUE)</f>
        <v>1</v>
      </c>
      <c r="K1140" t="str">
        <f t="shared" si="37"/>
        <v>Row 133 - For ‘Transport unit’ if ‘Amount’ is given then ‘Gross / Net’ and ‘Amount unit’ are required</v>
      </c>
      <c r="L1140" t="s">
        <v>1391</v>
      </c>
    </row>
    <row r="1141" spans="7:12" x14ac:dyDescent="0.25">
      <c r="G1141" t="b">
        <f>IF(OR(INDEX(IHZ_HAZ_AMOUNT,134,1)&lt;&gt;"",),IF(OR(INDEX(IHZ_HAZ_NETGROSS,134,1)="",INDEX(IHZ_HAZ_UNIT,134,1)="",),FALSE,TRUE),TRUE)</f>
        <v>1</v>
      </c>
      <c r="H1141" t="str">
        <f t="shared" si="36"/>
        <v>Row 134 - For ‘Transport unit’ if ‘Amount’ is given then ‘Gross / Net’ and ‘Amount unit’ are required</v>
      </c>
      <c r="I1141" t="s">
        <v>1391</v>
      </c>
      <c r="J1141" t="b">
        <f>IF(OR(INDEX(OHZ_HAZ_AMOUNT,134,1)&lt;&gt;"",),IF(OR(INDEX(OHZ_HAZ_NETGROSS,134,1)="",INDEX(OHZ_HAZ_UNIT,134,1)="",),FALSE,TRUE),TRUE)</f>
        <v>1</v>
      </c>
      <c r="K1141" t="str">
        <f t="shared" si="37"/>
        <v>Row 134 - For ‘Transport unit’ if ‘Amount’ is given then ‘Gross / Net’ and ‘Amount unit’ are required</v>
      </c>
      <c r="L1141" t="s">
        <v>1391</v>
      </c>
    </row>
    <row r="1142" spans="7:12" x14ac:dyDescent="0.25">
      <c r="G1142" t="b">
        <f>IF(OR(INDEX(IHZ_HAZ_AMOUNT,135,1)&lt;&gt;"",),IF(OR(INDEX(IHZ_HAZ_NETGROSS,135,1)="",INDEX(IHZ_HAZ_UNIT,135,1)="",),FALSE,TRUE),TRUE)</f>
        <v>1</v>
      </c>
      <c r="H1142" t="str">
        <f t="shared" si="36"/>
        <v>Row 135 - For ‘Transport unit’ if ‘Amount’ is given then ‘Gross / Net’ and ‘Amount unit’ are required</v>
      </c>
      <c r="I1142" t="s">
        <v>1391</v>
      </c>
      <c r="J1142" t="b">
        <f>IF(OR(INDEX(OHZ_HAZ_AMOUNT,135,1)&lt;&gt;"",),IF(OR(INDEX(OHZ_HAZ_NETGROSS,135,1)="",INDEX(OHZ_HAZ_UNIT,135,1)="",),FALSE,TRUE),TRUE)</f>
        <v>1</v>
      </c>
      <c r="K1142" t="str">
        <f t="shared" si="37"/>
        <v>Row 135 - For ‘Transport unit’ if ‘Amount’ is given then ‘Gross / Net’ and ‘Amount unit’ are required</v>
      </c>
      <c r="L1142" t="s">
        <v>1391</v>
      </c>
    </row>
    <row r="1143" spans="7:12" x14ac:dyDescent="0.25">
      <c r="G1143" t="b">
        <f>IF(OR(INDEX(IHZ_HAZ_AMOUNT,136,1)&lt;&gt;"",),IF(OR(INDEX(IHZ_HAZ_NETGROSS,136,1)="",INDEX(IHZ_HAZ_UNIT,136,1)="",),FALSE,TRUE),TRUE)</f>
        <v>1</v>
      </c>
      <c r="H1143" t="str">
        <f t="shared" si="36"/>
        <v>Row 136 - For ‘Transport unit’ if ‘Amount’ is given then ‘Gross / Net’ and ‘Amount unit’ are required</v>
      </c>
      <c r="I1143" t="s">
        <v>1391</v>
      </c>
      <c r="J1143" t="b">
        <f>IF(OR(INDEX(OHZ_HAZ_AMOUNT,136,1)&lt;&gt;"",),IF(OR(INDEX(OHZ_HAZ_NETGROSS,136,1)="",INDEX(OHZ_HAZ_UNIT,136,1)="",),FALSE,TRUE),TRUE)</f>
        <v>1</v>
      </c>
      <c r="K1143" t="str">
        <f t="shared" si="37"/>
        <v>Row 136 - For ‘Transport unit’ if ‘Amount’ is given then ‘Gross / Net’ and ‘Amount unit’ are required</v>
      </c>
      <c r="L1143" t="s">
        <v>1391</v>
      </c>
    </row>
    <row r="1144" spans="7:12" x14ac:dyDescent="0.25">
      <c r="G1144" t="b">
        <f>IF(OR(INDEX(IHZ_HAZ_AMOUNT,137,1)&lt;&gt;"",),IF(OR(INDEX(IHZ_HAZ_NETGROSS,137,1)="",INDEX(IHZ_HAZ_UNIT,137,1)="",),FALSE,TRUE),TRUE)</f>
        <v>1</v>
      </c>
      <c r="H1144" t="str">
        <f t="shared" si="36"/>
        <v>Row 137 - For ‘Transport unit’ if ‘Amount’ is given then ‘Gross / Net’ and ‘Amount unit’ are required</v>
      </c>
      <c r="I1144" t="s">
        <v>1391</v>
      </c>
      <c r="J1144" t="b">
        <f>IF(OR(INDEX(OHZ_HAZ_AMOUNT,137,1)&lt;&gt;"",),IF(OR(INDEX(OHZ_HAZ_NETGROSS,137,1)="",INDEX(OHZ_HAZ_UNIT,137,1)="",),FALSE,TRUE),TRUE)</f>
        <v>1</v>
      </c>
      <c r="K1144" t="str">
        <f t="shared" si="37"/>
        <v>Row 137 - For ‘Transport unit’ if ‘Amount’ is given then ‘Gross / Net’ and ‘Amount unit’ are required</v>
      </c>
      <c r="L1144" t="s">
        <v>1391</v>
      </c>
    </row>
    <row r="1145" spans="7:12" x14ac:dyDescent="0.25">
      <c r="G1145" t="b">
        <f>IF(OR(INDEX(IHZ_HAZ_AMOUNT,138,1)&lt;&gt;"",),IF(OR(INDEX(IHZ_HAZ_NETGROSS,138,1)="",INDEX(IHZ_HAZ_UNIT,138,1)="",),FALSE,TRUE),TRUE)</f>
        <v>1</v>
      </c>
      <c r="H1145" t="str">
        <f t="shared" si="36"/>
        <v>Row 138 - For ‘Transport unit’ if ‘Amount’ is given then ‘Gross / Net’ and ‘Amount unit’ are required</v>
      </c>
      <c r="I1145" t="s">
        <v>1391</v>
      </c>
      <c r="J1145" t="b">
        <f>IF(OR(INDEX(OHZ_HAZ_AMOUNT,138,1)&lt;&gt;"",),IF(OR(INDEX(OHZ_HAZ_NETGROSS,138,1)="",INDEX(OHZ_HAZ_UNIT,138,1)="",),FALSE,TRUE),TRUE)</f>
        <v>1</v>
      </c>
      <c r="K1145" t="str">
        <f t="shared" si="37"/>
        <v>Row 138 - For ‘Transport unit’ if ‘Amount’ is given then ‘Gross / Net’ and ‘Amount unit’ are required</v>
      </c>
      <c r="L1145" t="s">
        <v>1391</v>
      </c>
    </row>
    <row r="1146" spans="7:12" x14ac:dyDescent="0.25">
      <c r="G1146" t="b">
        <f>IF(OR(INDEX(IHZ_HAZ_AMOUNT,139,1)&lt;&gt;"",),IF(OR(INDEX(IHZ_HAZ_NETGROSS,139,1)="",INDEX(IHZ_HAZ_UNIT,139,1)="",),FALSE,TRUE),TRUE)</f>
        <v>1</v>
      </c>
      <c r="H1146" t="str">
        <f t="shared" si="36"/>
        <v>Row 139 - For ‘Transport unit’ if ‘Amount’ is given then ‘Gross / Net’ and ‘Amount unit’ are required</v>
      </c>
      <c r="I1146" t="s">
        <v>1391</v>
      </c>
      <c r="J1146" t="b">
        <f>IF(OR(INDEX(OHZ_HAZ_AMOUNT,139,1)&lt;&gt;"",),IF(OR(INDEX(OHZ_HAZ_NETGROSS,139,1)="",INDEX(OHZ_HAZ_UNIT,139,1)="",),FALSE,TRUE),TRUE)</f>
        <v>1</v>
      </c>
      <c r="K1146" t="str">
        <f t="shared" si="37"/>
        <v>Row 139 - For ‘Transport unit’ if ‘Amount’ is given then ‘Gross / Net’ and ‘Amount unit’ are required</v>
      </c>
      <c r="L1146" t="s">
        <v>1391</v>
      </c>
    </row>
    <row r="1147" spans="7:12" x14ac:dyDescent="0.25">
      <c r="G1147" t="b">
        <f>IF(OR(INDEX(IHZ_HAZ_AMOUNT,140,1)&lt;&gt;"",),IF(OR(INDEX(IHZ_HAZ_NETGROSS,140,1)="",INDEX(IHZ_HAZ_UNIT,140,1)="",),FALSE,TRUE),TRUE)</f>
        <v>1</v>
      </c>
      <c r="H1147" t="str">
        <f t="shared" si="36"/>
        <v>Row 140 - For ‘Transport unit’ if ‘Amount’ is given then ‘Gross / Net’ and ‘Amount unit’ are required</v>
      </c>
      <c r="I1147" t="s">
        <v>1391</v>
      </c>
      <c r="J1147" t="b">
        <f>IF(OR(INDEX(OHZ_HAZ_AMOUNT,140,1)&lt;&gt;"",),IF(OR(INDEX(OHZ_HAZ_NETGROSS,140,1)="",INDEX(OHZ_HAZ_UNIT,140,1)="",),FALSE,TRUE),TRUE)</f>
        <v>1</v>
      </c>
      <c r="K1147" t="str">
        <f t="shared" si="37"/>
        <v>Row 140 - For ‘Transport unit’ if ‘Amount’ is given then ‘Gross / Net’ and ‘Amount unit’ are required</v>
      </c>
      <c r="L1147" t="s">
        <v>1391</v>
      </c>
    </row>
    <row r="1148" spans="7:12" x14ac:dyDescent="0.25">
      <c r="G1148" t="b">
        <f>IF(OR(INDEX(IHZ_HAZ_AMOUNT,141,1)&lt;&gt;"",),IF(OR(INDEX(IHZ_HAZ_NETGROSS,141,1)="",INDEX(IHZ_HAZ_UNIT,141,1)="",),FALSE,TRUE),TRUE)</f>
        <v>1</v>
      </c>
      <c r="H1148" t="str">
        <f t="shared" si="36"/>
        <v>Row 141 - For ‘Transport unit’ if ‘Amount’ is given then ‘Gross / Net’ and ‘Amount unit’ are required</v>
      </c>
      <c r="I1148" t="s">
        <v>1391</v>
      </c>
      <c r="J1148" t="b">
        <f>IF(OR(INDEX(OHZ_HAZ_AMOUNT,141,1)&lt;&gt;"",),IF(OR(INDEX(OHZ_HAZ_NETGROSS,141,1)="",INDEX(OHZ_HAZ_UNIT,141,1)="",),FALSE,TRUE),TRUE)</f>
        <v>1</v>
      </c>
      <c r="K1148" t="str">
        <f t="shared" si="37"/>
        <v>Row 141 - For ‘Transport unit’ if ‘Amount’ is given then ‘Gross / Net’ and ‘Amount unit’ are required</v>
      </c>
      <c r="L1148" t="s">
        <v>1391</v>
      </c>
    </row>
    <row r="1149" spans="7:12" x14ac:dyDescent="0.25">
      <c r="G1149" t="b">
        <f>IF(OR(INDEX(IHZ_HAZ_AMOUNT,142,1)&lt;&gt;"",),IF(OR(INDEX(IHZ_HAZ_NETGROSS,142,1)="",INDEX(IHZ_HAZ_UNIT,142,1)="",),FALSE,TRUE),TRUE)</f>
        <v>1</v>
      </c>
      <c r="H1149" t="str">
        <f t="shared" si="36"/>
        <v>Row 142 - For ‘Transport unit’ if ‘Amount’ is given then ‘Gross / Net’ and ‘Amount unit’ are required</v>
      </c>
      <c r="I1149" t="s">
        <v>1391</v>
      </c>
      <c r="J1149" t="b">
        <f>IF(OR(INDEX(OHZ_HAZ_AMOUNT,142,1)&lt;&gt;"",),IF(OR(INDEX(OHZ_HAZ_NETGROSS,142,1)="",INDEX(OHZ_HAZ_UNIT,142,1)="",),FALSE,TRUE),TRUE)</f>
        <v>1</v>
      </c>
      <c r="K1149" t="str">
        <f t="shared" si="37"/>
        <v>Row 142 - For ‘Transport unit’ if ‘Amount’ is given then ‘Gross / Net’ and ‘Amount unit’ are required</v>
      </c>
      <c r="L1149" t="s">
        <v>1391</v>
      </c>
    </row>
    <row r="1150" spans="7:12" x14ac:dyDescent="0.25">
      <c r="G1150" t="b">
        <f>IF(OR(INDEX(IHZ_HAZ_AMOUNT,143,1)&lt;&gt;"",),IF(OR(INDEX(IHZ_HAZ_NETGROSS,143,1)="",INDEX(IHZ_HAZ_UNIT,143,1)="",),FALSE,TRUE),TRUE)</f>
        <v>1</v>
      </c>
      <c r="H1150" t="str">
        <f t="shared" si="36"/>
        <v>Row 143 - For ‘Transport unit’ if ‘Amount’ is given then ‘Gross / Net’ and ‘Amount unit’ are required</v>
      </c>
      <c r="I1150" t="s">
        <v>1391</v>
      </c>
      <c r="J1150" t="b">
        <f>IF(OR(INDEX(OHZ_HAZ_AMOUNT,143,1)&lt;&gt;"",),IF(OR(INDEX(OHZ_HAZ_NETGROSS,143,1)="",INDEX(OHZ_HAZ_UNIT,143,1)="",),FALSE,TRUE),TRUE)</f>
        <v>1</v>
      </c>
      <c r="K1150" t="str">
        <f t="shared" si="37"/>
        <v>Row 143 - For ‘Transport unit’ if ‘Amount’ is given then ‘Gross / Net’ and ‘Amount unit’ are required</v>
      </c>
      <c r="L1150" t="s">
        <v>1391</v>
      </c>
    </row>
    <row r="1151" spans="7:12" x14ac:dyDescent="0.25">
      <c r="G1151" t="b">
        <f>IF(OR(INDEX(IHZ_HAZ_AMOUNT,144,1)&lt;&gt;"",),IF(OR(INDEX(IHZ_HAZ_NETGROSS,144,1)="",INDEX(IHZ_HAZ_UNIT,144,1)="",),FALSE,TRUE),TRUE)</f>
        <v>1</v>
      </c>
      <c r="H1151" t="str">
        <f t="shared" si="36"/>
        <v>Row 144 - For ‘Transport unit’ if ‘Amount’ is given then ‘Gross / Net’ and ‘Amount unit’ are required</v>
      </c>
      <c r="I1151" t="s">
        <v>1391</v>
      </c>
      <c r="J1151" t="b">
        <f>IF(OR(INDEX(OHZ_HAZ_AMOUNT,144,1)&lt;&gt;"",),IF(OR(INDEX(OHZ_HAZ_NETGROSS,144,1)="",INDEX(OHZ_HAZ_UNIT,144,1)="",),FALSE,TRUE),TRUE)</f>
        <v>1</v>
      </c>
      <c r="K1151" t="str">
        <f t="shared" si="37"/>
        <v>Row 144 - For ‘Transport unit’ if ‘Amount’ is given then ‘Gross / Net’ and ‘Amount unit’ are required</v>
      </c>
      <c r="L1151" t="s">
        <v>1391</v>
      </c>
    </row>
    <row r="1152" spans="7:12" x14ac:dyDescent="0.25">
      <c r="G1152" t="b">
        <f>IF(OR(INDEX(IHZ_HAZ_AMOUNT,145,1)&lt;&gt;"",),IF(OR(INDEX(IHZ_HAZ_NETGROSS,145,1)="",INDEX(IHZ_HAZ_UNIT,145,1)="",),FALSE,TRUE),TRUE)</f>
        <v>1</v>
      </c>
      <c r="H1152" t="str">
        <f t="shared" si="36"/>
        <v>Row 145 - For ‘Transport unit’ if ‘Amount’ is given then ‘Gross / Net’ and ‘Amount unit’ are required</v>
      </c>
      <c r="I1152" t="s">
        <v>1391</v>
      </c>
      <c r="J1152" t="b">
        <f>IF(OR(INDEX(OHZ_HAZ_AMOUNT,145,1)&lt;&gt;"",),IF(OR(INDEX(OHZ_HAZ_NETGROSS,145,1)="",INDEX(OHZ_HAZ_UNIT,145,1)="",),FALSE,TRUE),TRUE)</f>
        <v>1</v>
      </c>
      <c r="K1152" t="str">
        <f t="shared" si="37"/>
        <v>Row 145 - For ‘Transport unit’ if ‘Amount’ is given then ‘Gross / Net’ and ‘Amount unit’ are required</v>
      </c>
      <c r="L1152" t="s">
        <v>1391</v>
      </c>
    </row>
    <row r="1153" spans="7:12" x14ac:dyDescent="0.25">
      <c r="G1153" t="b">
        <f>IF(OR(INDEX(IHZ_HAZ_AMOUNT,146,1)&lt;&gt;"",),IF(OR(INDEX(IHZ_HAZ_NETGROSS,146,1)="",INDEX(IHZ_HAZ_UNIT,146,1)="",),FALSE,TRUE),TRUE)</f>
        <v>1</v>
      </c>
      <c r="H1153" t="str">
        <f t="shared" si="36"/>
        <v>Row 146 - For ‘Transport unit’ if ‘Amount’ is given then ‘Gross / Net’ and ‘Amount unit’ are required</v>
      </c>
      <c r="I1153" t="s">
        <v>1391</v>
      </c>
      <c r="J1153" t="b">
        <f>IF(OR(INDEX(OHZ_HAZ_AMOUNT,146,1)&lt;&gt;"",),IF(OR(INDEX(OHZ_HAZ_NETGROSS,146,1)="",INDEX(OHZ_HAZ_UNIT,146,1)="",),FALSE,TRUE),TRUE)</f>
        <v>1</v>
      </c>
      <c r="K1153" t="str">
        <f t="shared" si="37"/>
        <v>Row 146 - For ‘Transport unit’ if ‘Amount’ is given then ‘Gross / Net’ and ‘Amount unit’ are required</v>
      </c>
      <c r="L1153" t="s">
        <v>1391</v>
      </c>
    </row>
    <row r="1154" spans="7:12" x14ac:dyDescent="0.25">
      <c r="G1154" t="b">
        <f>IF(OR(INDEX(IHZ_HAZ_AMOUNT,147,1)&lt;&gt;"",),IF(OR(INDEX(IHZ_HAZ_NETGROSS,147,1)="",INDEX(IHZ_HAZ_UNIT,147,1)="",),FALSE,TRUE),TRUE)</f>
        <v>1</v>
      </c>
      <c r="H1154" t="str">
        <f t="shared" si="36"/>
        <v>Row 147 - For ‘Transport unit’ if ‘Amount’ is given then ‘Gross / Net’ and ‘Amount unit’ are required</v>
      </c>
      <c r="I1154" t="s">
        <v>1391</v>
      </c>
      <c r="J1154" t="b">
        <f>IF(OR(INDEX(OHZ_HAZ_AMOUNT,147,1)&lt;&gt;"",),IF(OR(INDEX(OHZ_HAZ_NETGROSS,147,1)="",INDEX(OHZ_HAZ_UNIT,147,1)="",),FALSE,TRUE),TRUE)</f>
        <v>1</v>
      </c>
      <c r="K1154" t="str">
        <f t="shared" si="37"/>
        <v>Row 147 - For ‘Transport unit’ if ‘Amount’ is given then ‘Gross / Net’ and ‘Amount unit’ are required</v>
      </c>
      <c r="L1154" t="s">
        <v>1391</v>
      </c>
    </row>
    <row r="1155" spans="7:12" x14ac:dyDescent="0.25">
      <c r="G1155" t="b">
        <f>IF(OR(INDEX(IHZ_HAZ_AMOUNT,148,1)&lt;&gt;"",),IF(OR(INDEX(IHZ_HAZ_NETGROSS,148,1)="",INDEX(IHZ_HAZ_UNIT,148,1)="",),FALSE,TRUE),TRUE)</f>
        <v>1</v>
      </c>
      <c r="H1155" t="str">
        <f t="shared" si="36"/>
        <v>Row 148 - For ‘Transport unit’ if ‘Amount’ is given then ‘Gross / Net’ and ‘Amount unit’ are required</v>
      </c>
      <c r="I1155" t="s">
        <v>1391</v>
      </c>
      <c r="J1155" t="b">
        <f>IF(OR(INDEX(OHZ_HAZ_AMOUNT,148,1)&lt;&gt;"",),IF(OR(INDEX(OHZ_HAZ_NETGROSS,148,1)="",INDEX(OHZ_HAZ_UNIT,148,1)="",),FALSE,TRUE),TRUE)</f>
        <v>1</v>
      </c>
      <c r="K1155" t="str">
        <f t="shared" si="37"/>
        <v>Row 148 - For ‘Transport unit’ if ‘Amount’ is given then ‘Gross / Net’ and ‘Amount unit’ are required</v>
      </c>
      <c r="L1155" t="s">
        <v>1391</v>
      </c>
    </row>
    <row r="1156" spans="7:12" x14ac:dyDescent="0.25">
      <c r="G1156" t="b">
        <f>IF(OR(INDEX(IHZ_HAZ_AMOUNT,149,1)&lt;&gt;"",),IF(OR(INDEX(IHZ_HAZ_NETGROSS,149,1)="",INDEX(IHZ_HAZ_UNIT,149,1)="",),FALSE,TRUE),TRUE)</f>
        <v>1</v>
      </c>
      <c r="H1156" t="str">
        <f t="shared" si="36"/>
        <v>Row 149 - For ‘Transport unit’ if ‘Amount’ is given then ‘Gross / Net’ and ‘Amount unit’ are required</v>
      </c>
      <c r="I1156" t="s">
        <v>1391</v>
      </c>
      <c r="J1156" t="b">
        <f>IF(OR(INDEX(OHZ_HAZ_AMOUNT,149,1)&lt;&gt;"",),IF(OR(INDEX(OHZ_HAZ_NETGROSS,149,1)="",INDEX(OHZ_HAZ_UNIT,149,1)="",),FALSE,TRUE),TRUE)</f>
        <v>1</v>
      </c>
      <c r="K1156" t="str">
        <f t="shared" si="37"/>
        <v>Row 149 - For ‘Transport unit’ if ‘Amount’ is given then ‘Gross / Net’ and ‘Amount unit’ are required</v>
      </c>
      <c r="L1156" t="s">
        <v>1391</v>
      </c>
    </row>
    <row r="1157" spans="7:12" x14ac:dyDescent="0.25">
      <c r="G1157" t="b">
        <f>IF(OR(INDEX(IHZ_HAZ_AMOUNT,150,1)&lt;&gt;"",),IF(OR(INDEX(IHZ_HAZ_NETGROSS,150,1)="",INDEX(IHZ_HAZ_UNIT,150,1)="",),FALSE,TRUE),TRUE)</f>
        <v>1</v>
      </c>
      <c r="H1157" t="str">
        <f t="shared" si="36"/>
        <v>Row 150 - For ‘Transport unit’ if ‘Amount’ is given then ‘Gross / Net’ and ‘Amount unit’ are required</v>
      </c>
      <c r="I1157" t="s">
        <v>1391</v>
      </c>
      <c r="J1157" t="b">
        <f>IF(OR(INDEX(OHZ_HAZ_AMOUNT,150,1)&lt;&gt;"",),IF(OR(INDEX(OHZ_HAZ_NETGROSS,150,1)="",INDEX(OHZ_HAZ_UNIT,150,1)="",),FALSE,TRUE),TRUE)</f>
        <v>1</v>
      </c>
      <c r="K1157" t="str">
        <f t="shared" si="37"/>
        <v>Row 150 - For ‘Transport unit’ if ‘Amount’ is given then ‘Gross / Net’ and ‘Amount unit’ are required</v>
      </c>
      <c r="L1157" t="s">
        <v>1391</v>
      </c>
    </row>
    <row r="1158" spans="7:12" x14ac:dyDescent="0.25">
      <c r="G1158" t="b">
        <f>IF(OR(INDEX(IHZ_HAZ_AMOUNT,151,1)&lt;&gt;"",),IF(OR(INDEX(IHZ_HAZ_NETGROSS,151,1)="",INDEX(IHZ_HAZ_UNIT,151,1)="",),FALSE,TRUE),TRUE)</f>
        <v>1</v>
      </c>
      <c r="H1158" t="str">
        <f t="shared" si="36"/>
        <v>Row 151 - For ‘Transport unit’ if ‘Amount’ is given then ‘Gross / Net’ and ‘Amount unit’ are required</v>
      </c>
      <c r="I1158" t="s">
        <v>1391</v>
      </c>
      <c r="J1158" t="b">
        <f>IF(OR(INDEX(OHZ_HAZ_AMOUNT,151,1)&lt;&gt;"",),IF(OR(INDEX(OHZ_HAZ_NETGROSS,151,1)="",INDEX(OHZ_HAZ_UNIT,151,1)="",),FALSE,TRUE),TRUE)</f>
        <v>1</v>
      </c>
      <c r="K1158" t="str">
        <f t="shared" si="37"/>
        <v>Row 151 - For ‘Transport unit’ if ‘Amount’ is given then ‘Gross / Net’ and ‘Amount unit’ are required</v>
      </c>
      <c r="L1158" t="s">
        <v>1391</v>
      </c>
    </row>
    <row r="1159" spans="7:12" x14ac:dyDescent="0.25">
      <c r="G1159" t="b">
        <f>IF(OR(INDEX(IHZ_HAZ_AMOUNT,152,1)&lt;&gt;"",),IF(OR(INDEX(IHZ_HAZ_NETGROSS,152,1)="",INDEX(IHZ_HAZ_UNIT,152,1)="",),FALSE,TRUE),TRUE)</f>
        <v>1</v>
      </c>
      <c r="H1159" t="str">
        <f t="shared" si="36"/>
        <v>Row 152 - For ‘Transport unit’ if ‘Amount’ is given then ‘Gross / Net’ and ‘Amount unit’ are required</v>
      </c>
      <c r="I1159" t="s">
        <v>1391</v>
      </c>
      <c r="J1159" t="b">
        <f>IF(OR(INDEX(OHZ_HAZ_AMOUNT,152,1)&lt;&gt;"",),IF(OR(INDEX(OHZ_HAZ_NETGROSS,152,1)="",INDEX(OHZ_HAZ_UNIT,152,1)="",),FALSE,TRUE),TRUE)</f>
        <v>1</v>
      </c>
      <c r="K1159" t="str">
        <f t="shared" si="37"/>
        <v>Row 152 - For ‘Transport unit’ if ‘Amount’ is given then ‘Gross / Net’ and ‘Amount unit’ are required</v>
      </c>
      <c r="L1159" t="s">
        <v>1391</v>
      </c>
    </row>
    <row r="1160" spans="7:12" x14ac:dyDescent="0.25">
      <c r="G1160" t="b">
        <f>IF(OR(INDEX(IHZ_HAZ_AMOUNT,153,1)&lt;&gt;"",),IF(OR(INDEX(IHZ_HAZ_NETGROSS,153,1)="",INDEX(IHZ_HAZ_UNIT,153,1)="",),FALSE,TRUE),TRUE)</f>
        <v>1</v>
      </c>
      <c r="H1160" t="str">
        <f t="shared" si="36"/>
        <v>Row 153 - For ‘Transport unit’ if ‘Amount’ is given then ‘Gross / Net’ and ‘Amount unit’ are required</v>
      </c>
      <c r="I1160" t="s">
        <v>1391</v>
      </c>
      <c r="J1160" t="b">
        <f>IF(OR(INDEX(OHZ_HAZ_AMOUNT,153,1)&lt;&gt;"",),IF(OR(INDEX(OHZ_HAZ_NETGROSS,153,1)="",INDEX(OHZ_HAZ_UNIT,153,1)="",),FALSE,TRUE),TRUE)</f>
        <v>1</v>
      </c>
      <c r="K1160" t="str">
        <f t="shared" si="37"/>
        <v>Row 153 - For ‘Transport unit’ if ‘Amount’ is given then ‘Gross / Net’ and ‘Amount unit’ are required</v>
      </c>
      <c r="L1160" t="s">
        <v>1391</v>
      </c>
    </row>
    <row r="1161" spans="7:12" x14ac:dyDescent="0.25">
      <c r="G1161" t="b">
        <f>IF(OR(INDEX(IHZ_HAZ_AMOUNT,154,1)&lt;&gt;"",),IF(OR(INDEX(IHZ_HAZ_NETGROSS,154,1)="",INDEX(IHZ_HAZ_UNIT,154,1)="",),FALSE,TRUE),TRUE)</f>
        <v>1</v>
      </c>
      <c r="H1161" t="str">
        <f t="shared" si="36"/>
        <v>Row 154 - For ‘Transport unit’ if ‘Amount’ is given then ‘Gross / Net’ and ‘Amount unit’ are required</v>
      </c>
      <c r="I1161" t="s">
        <v>1391</v>
      </c>
      <c r="J1161" t="b">
        <f>IF(OR(INDEX(OHZ_HAZ_AMOUNT,154,1)&lt;&gt;"",),IF(OR(INDEX(OHZ_HAZ_NETGROSS,154,1)="",INDEX(OHZ_HAZ_UNIT,154,1)="",),FALSE,TRUE),TRUE)</f>
        <v>1</v>
      </c>
      <c r="K1161" t="str">
        <f t="shared" si="37"/>
        <v>Row 154 - For ‘Transport unit’ if ‘Amount’ is given then ‘Gross / Net’ and ‘Amount unit’ are required</v>
      </c>
      <c r="L1161" t="s">
        <v>1391</v>
      </c>
    </row>
    <row r="1162" spans="7:12" x14ac:dyDescent="0.25">
      <c r="G1162" t="b">
        <f>IF(OR(INDEX(IHZ_HAZ_AMOUNT,155,1)&lt;&gt;"",),IF(OR(INDEX(IHZ_HAZ_NETGROSS,155,1)="",INDEX(IHZ_HAZ_UNIT,155,1)="",),FALSE,TRUE),TRUE)</f>
        <v>1</v>
      </c>
      <c r="H1162" t="str">
        <f t="shared" si="36"/>
        <v>Row 155 - For ‘Transport unit’ if ‘Amount’ is given then ‘Gross / Net’ and ‘Amount unit’ are required</v>
      </c>
      <c r="I1162" t="s">
        <v>1391</v>
      </c>
      <c r="J1162" t="b">
        <f>IF(OR(INDEX(OHZ_HAZ_AMOUNT,155,1)&lt;&gt;"",),IF(OR(INDEX(OHZ_HAZ_NETGROSS,155,1)="",INDEX(OHZ_HAZ_UNIT,155,1)="",),FALSE,TRUE),TRUE)</f>
        <v>1</v>
      </c>
      <c r="K1162" t="str">
        <f t="shared" si="37"/>
        <v>Row 155 - For ‘Transport unit’ if ‘Amount’ is given then ‘Gross / Net’ and ‘Amount unit’ are required</v>
      </c>
      <c r="L1162" t="s">
        <v>1391</v>
      </c>
    </row>
    <row r="1163" spans="7:12" x14ac:dyDescent="0.25">
      <c r="G1163" t="b">
        <f>IF(OR(INDEX(IHZ_HAZ_AMOUNT,156,1)&lt;&gt;"",),IF(OR(INDEX(IHZ_HAZ_NETGROSS,156,1)="",INDEX(IHZ_HAZ_UNIT,156,1)="",),FALSE,TRUE),TRUE)</f>
        <v>1</v>
      </c>
      <c r="H1163" t="str">
        <f t="shared" si="36"/>
        <v>Row 156 - For ‘Transport unit’ if ‘Amount’ is given then ‘Gross / Net’ and ‘Amount unit’ are required</v>
      </c>
      <c r="I1163" t="s">
        <v>1391</v>
      </c>
      <c r="J1163" t="b">
        <f>IF(OR(INDEX(OHZ_HAZ_AMOUNT,156,1)&lt;&gt;"",),IF(OR(INDEX(OHZ_HAZ_NETGROSS,156,1)="",INDEX(OHZ_HAZ_UNIT,156,1)="",),FALSE,TRUE),TRUE)</f>
        <v>1</v>
      </c>
      <c r="K1163" t="str">
        <f t="shared" si="37"/>
        <v>Row 156 - For ‘Transport unit’ if ‘Amount’ is given then ‘Gross / Net’ and ‘Amount unit’ are required</v>
      </c>
      <c r="L1163" t="s">
        <v>1391</v>
      </c>
    </row>
    <row r="1164" spans="7:12" x14ac:dyDescent="0.25">
      <c r="G1164" t="b">
        <f>IF(OR(INDEX(IHZ_HAZ_AMOUNT,157,1)&lt;&gt;"",),IF(OR(INDEX(IHZ_HAZ_NETGROSS,157,1)="",INDEX(IHZ_HAZ_UNIT,157,1)="",),FALSE,TRUE),TRUE)</f>
        <v>1</v>
      </c>
      <c r="H1164" t="str">
        <f t="shared" si="36"/>
        <v>Row 157 - For ‘Transport unit’ if ‘Amount’ is given then ‘Gross / Net’ and ‘Amount unit’ are required</v>
      </c>
      <c r="I1164" t="s">
        <v>1391</v>
      </c>
      <c r="J1164" t="b">
        <f>IF(OR(INDEX(OHZ_HAZ_AMOUNT,157,1)&lt;&gt;"",),IF(OR(INDEX(OHZ_HAZ_NETGROSS,157,1)="",INDEX(OHZ_HAZ_UNIT,157,1)="",),FALSE,TRUE),TRUE)</f>
        <v>1</v>
      </c>
      <c r="K1164" t="str">
        <f t="shared" si="37"/>
        <v>Row 157 - For ‘Transport unit’ if ‘Amount’ is given then ‘Gross / Net’ and ‘Amount unit’ are required</v>
      </c>
      <c r="L1164" t="s">
        <v>1391</v>
      </c>
    </row>
    <row r="1165" spans="7:12" x14ac:dyDescent="0.25">
      <c r="G1165" t="b">
        <f>IF(OR(INDEX(IHZ_HAZ_AMOUNT,158,1)&lt;&gt;"",),IF(OR(INDEX(IHZ_HAZ_NETGROSS,158,1)="",INDEX(IHZ_HAZ_UNIT,158,1)="",),FALSE,TRUE),TRUE)</f>
        <v>1</v>
      </c>
      <c r="H1165" t="str">
        <f t="shared" si="36"/>
        <v>Row 158 - For ‘Transport unit’ if ‘Amount’ is given then ‘Gross / Net’ and ‘Amount unit’ are required</v>
      </c>
      <c r="I1165" t="s">
        <v>1391</v>
      </c>
      <c r="J1165" t="b">
        <f>IF(OR(INDEX(OHZ_HAZ_AMOUNT,158,1)&lt;&gt;"",),IF(OR(INDEX(OHZ_HAZ_NETGROSS,158,1)="",INDEX(OHZ_HAZ_UNIT,158,1)="",),FALSE,TRUE),TRUE)</f>
        <v>1</v>
      </c>
      <c r="K1165" t="str">
        <f t="shared" si="37"/>
        <v>Row 158 - For ‘Transport unit’ if ‘Amount’ is given then ‘Gross / Net’ and ‘Amount unit’ are required</v>
      </c>
      <c r="L1165" t="s">
        <v>1391</v>
      </c>
    </row>
    <row r="1166" spans="7:12" x14ac:dyDescent="0.25">
      <c r="G1166" t="b">
        <f>IF(OR(INDEX(IHZ_HAZ_AMOUNT,159,1)&lt;&gt;"",),IF(OR(INDEX(IHZ_HAZ_NETGROSS,159,1)="",INDEX(IHZ_HAZ_UNIT,159,1)="",),FALSE,TRUE),TRUE)</f>
        <v>1</v>
      </c>
      <c r="H1166" t="str">
        <f t="shared" si="36"/>
        <v>Row 159 - For ‘Transport unit’ if ‘Amount’ is given then ‘Gross / Net’ and ‘Amount unit’ are required</v>
      </c>
      <c r="I1166" t="s">
        <v>1391</v>
      </c>
      <c r="J1166" t="b">
        <f>IF(OR(INDEX(OHZ_HAZ_AMOUNT,159,1)&lt;&gt;"",),IF(OR(INDEX(OHZ_HAZ_NETGROSS,159,1)="",INDEX(OHZ_HAZ_UNIT,159,1)="",),FALSE,TRUE),TRUE)</f>
        <v>1</v>
      </c>
      <c r="K1166" t="str">
        <f t="shared" si="37"/>
        <v>Row 159 - For ‘Transport unit’ if ‘Amount’ is given then ‘Gross / Net’ and ‘Amount unit’ are required</v>
      </c>
      <c r="L1166" t="s">
        <v>1391</v>
      </c>
    </row>
    <row r="1167" spans="7:12" x14ac:dyDescent="0.25">
      <c r="G1167" t="b">
        <f>IF(OR(INDEX(IHZ_HAZ_AMOUNT,160,1)&lt;&gt;"",),IF(OR(INDEX(IHZ_HAZ_NETGROSS,160,1)="",INDEX(IHZ_HAZ_UNIT,160,1)="",),FALSE,TRUE),TRUE)</f>
        <v>1</v>
      </c>
      <c r="H1167" t="str">
        <f t="shared" si="36"/>
        <v>Row 160 - For ‘Transport unit’ if ‘Amount’ is given then ‘Gross / Net’ and ‘Amount unit’ are required</v>
      </c>
      <c r="I1167" t="s">
        <v>1391</v>
      </c>
      <c r="J1167" t="b">
        <f>IF(OR(INDEX(OHZ_HAZ_AMOUNT,160,1)&lt;&gt;"",),IF(OR(INDEX(OHZ_HAZ_NETGROSS,160,1)="",INDEX(OHZ_HAZ_UNIT,160,1)="",),FALSE,TRUE),TRUE)</f>
        <v>1</v>
      </c>
      <c r="K1167" t="str">
        <f t="shared" si="37"/>
        <v>Row 160 - For ‘Transport unit’ if ‘Amount’ is given then ‘Gross / Net’ and ‘Amount unit’ are required</v>
      </c>
      <c r="L1167" t="s">
        <v>1391</v>
      </c>
    </row>
    <row r="1168" spans="7:12" x14ac:dyDescent="0.25">
      <c r="G1168" t="b">
        <f>IF(OR(INDEX(IHZ_HAZ_AMOUNT,161,1)&lt;&gt;"",),IF(OR(INDEX(IHZ_HAZ_NETGROSS,161,1)="",INDEX(IHZ_HAZ_UNIT,161,1)="",),FALSE,TRUE),TRUE)</f>
        <v>1</v>
      </c>
      <c r="H1168" t="str">
        <f t="shared" si="36"/>
        <v>Row 161 - For ‘Transport unit’ if ‘Amount’ is given then ‘Gross / Net’ and ‘Amount unit’ are required</v>
      </c>
      <c r="I1168" t="s">
        <v>1391</v>
      </c>
      <c r="J1168" t="b">
        <f>IF(OR(INDEX(OHZ_HAZ_AMOUNT,161,1)&lt;&gt;"",),IF(OR(INDEX(OHZ_HAZ_NETGROSS,161,1)="",INDEX(OHZ_HAZ_UNIT,161,1)="",),FALSE,TRUE),TRUE)</f>
        <v>1</v>
      </c>
      <c r="K1168" t="str">
        <f t="shared" si="37"/>
        <v>Row 161 - For ‘Transport unit’ if ‘Amount’ is given then ‘Gross / Net’ and ‘Amount unit’ are required</v>
      </c>
      <c r="L1168" t="s">
        <v>1391</v>
      </c>
    </row>
    <row r="1169" spans="7:12" x14ac:dyDescent="0.25">
      <c r="G1169" t="b">
        <f>IF(OR(INDEX(IHZ_HAZ_AMOUNT,162,1)&lt;&gt;"",),IF(OR(INDEX(IHZ_HAZ_NETGROSS,162,1)="",INDEX(IHZ_HAZ_UNIT,162,1)="",),FALSE,TRUE),TRUE)</f>
        <v>1</v>
      </c>
      <c r="H1169" t="str">
        <f t="shared" si="36"/>
        <v>Row 162 - For ‘Transport unit’ if ‘Amount’ is given then ‘Gross / Net’ and ‘Amount unit’ are required</v>
      </c>
      <c r="I1169" t="s">
        <v>1391</v>
      </c>
      <c r="J1169" t="b">
        <f>IF(OR(INDEX(OHZ_HAZ_AMOUNT,162,1)&lt;&gt;"",),IF(OR(INDEX(OHZ_HAZ_NETGROSS,162,1)="",INDEX(OHZ_HAZ_UNIT,162,1)="",),FALSE,TRUE),TRUE)</f>
        <v>1</v>
      </c>
      <c r="K1169" t="str">
        <f t="shared" si="37"/>
        <v>Row 162 - For ‘Transport unit’ if ‘Amount’ is given then ‘Gross / Net’ and ‘Amount unit’ are required</v>
      </c>
      <c r="L1169" t="s">
        <v>1391</v>
      </c>
    </row>
    <row r="1170" spans="7:12" x14ac:dyDescent="0.25">
      <c r="G1170" t="b">
        <f>IF(OR(INDEX(IHZ_HAZ_AMOUNT,163,1)&lt;&gt;"",),IF(OR(INDEX(IHZ_HAZ_NETGROSS,163,1)="",INDEX(IHZ_HAZ_UNIT,163,1)="",),FALSE,TRUE),TRUE)</f>
        <v>1</v>
      </c>
      <c r="H1170" t="str">
        <f t="shared" si="36"/>
        <v>Row 163 - For ‘Transport unit’ if ‘Amount’ is given then ‘Gross / Net’ and ‘Amount unit’ are required</v>
      </c>
      <c r="I1170" t="s">
        <v>1391</v>
      </c>
      <c r="J1170" t="b">
        <f>IF(OR(INDEX(OHZ_HAZ_AMOUNT,163,1)&lt;&gt;"",),IF(OR(INDEX(OHZ_HAZ_NETGROSS,163,1)="",INDEX(OHZ_HAZ_UNIT,163,1)="",),FALSE,TRUE),TRUE)</f>
        <v>1</v>
      </c>
      <c r="K1170" t="str">
        <f t="shared" si="37"/>
        <v>Row 163 - For ‘Transport unit’ if ‘Amount’ is given then ‘Gross / Net’ and ‘Amount unit’ are required</v>
      </c>
      <c r="L1170" t="s">
        <v>1391</v>
      </c>
    </row>
    <row r="1171" spans="7:12" x14ac:dyDescent="0.25">
      <c r="G1171" t="b">
        <f>IF(OR(INDEX(IHZ_HAZ_AMOUNT,164,1)&lt;&gt;"",),IF(OR(INDEX(IHZ_HAZ_NETGROSS,164,1)="",INDEX(IHZ_HAZ_UNIT,164,1)="",),FALSE,TRUE),TRUE)</f>
        <v>1</v>
      </c>
      <c r="H1171" t="str">
        <f t="shared" si="36"/>
        <v>Row 164 - For ‘Transport unit’ if ‘Amount’ is given then ‘Gross / Net’ and ‘Amount unit’ are required</v>
      </c>
      <c r="I1171" t="s">
        <v>1391</v>
      </c>
      <c r="J1171" t="b">
        <f>IF(OR(INDEX(OHZ_HAZ_AMOUNT,164,1)&lt;&gt;"",),IF(OR(INDEX(OHZ_HAZ_NETGROSS,164,1)="",INDEX(OHZ_HAZ_UNIT,164,1)="",),FALSE,TRUE),TRUE)</f>
        <v>1</v>
      </c>
      <c r="K1171" t="str">
        <f t="shared" si="37"/>
        <v>Row 164 - For ‘Transport unit’ if ‘Amount’ is given then ‘Gross / Net’ and ‘Amount unit’ are required</v>
      </c>
      <c r="L1171" t="s">
        <v>1391</v>
      </c>
    </row>
    <row r="1172" spans="7:12" x14ac:dyDescent="0.25">
      <c r="G1172" t="b">
        <f>IF(OR(INDEX(IHZ_HAZ_AMOUNT,165,1)&lt;&gt;"",),IF(OR(INDEX(IHZ_HAZ_NETGROSS,165,1)="",INDEX(IHZ_HAZ_UNIT,165,1)="",),FALSE,TRUE),TRUE)</f>
        <v>1</v>
      </c>
      <c r="H1172" t="str">
        <f t="shared" si="36"/>
        <v>Row 165 - For ‘Transport unit’ if ‘Amount’ is given then ‘Gross / Net’ and ‘Amount unit’ are required</v>
      </c>
      <c r="I1172" t="s">
        <v>1391</v>
      </c>
      <c r="J1172" t="b">
        <f>IF(OR(INDEX(OHZ_HAZ_AMOUNT,165,1)&lt;&gt;"",),IF(OR(INDEX(OHZ_HAZ_NETGROSS,165,1)="",INDEX(OHZ_HAZ_UNIT,165,1)="",),FALSE,TRUE),TRUE)</f>
        <v>1</v>
      </c>
      <c r="K1172" t="str">
        <f t="shared" si="37"/>
        <v>Row 165 - For ‘Transport unit’ if ‘Amount’ is given then ‘Gross / Net’ and ‘Amount unit’ are required</v>
      </c>
      <c r="L1172" t="s">
        <v>1391</v>
      </c>
    </row>
    <row r="1173" spans="7:12" x14ac:dyDescent="0.25">
      <c r="G1173" t="b">
        <f>IF(OR(INDEX(IHZ_HAZ_AMOUNT,166,1)&lt;&gt;"",),IF(OR(INDEX(IHZ_HAZ_NETGROSS,166,1)="",INDEX(IHZ_HAZ_UNIT,166,1)="",),FALSE,TRUE),TRUE)</f>
        <v>1</v>
      </c>
      <c r="H1173" t="str">
        <f t="shared" si="36"/>
        <v>Row 166 - For ‘Transport unit’ if ‘Amount’ is given then ‘Gross / Net’ and ‘Amount unit’ are required</v>
      </c>
      <c r="I1173" t="s">
        <v>1391</v>
      </c>
      <c r="J1173" t="b">
        <f>IF(OR(INDEX(OHZ_HAZ_AMOUNT,166,1)&lt;&gt;"",),IF(OR(INDEX(OHZ_HAZ_NETGROSS,166,1)="",INDEX(OHZ_HAZ_UNIT,166,1)="",),FALSE,TRUE),TRUE)</f>
        <v>1</v>
      </c>
      <c r="K1173" t="str">
        <f t="shared" si="37"/>
        <v>Row 166 - For ‘Transport unit’ if ‘Amount’ is given then ‘Gross / Net’ and ‘Amount unit’ are required</v>
      </c>
      <c r="L1173" t="s">
        <v>1391</v>
      </c>
    </row>
    <row r="1174" spans="7:12" x14ac:dyDescent="0.25">
      <c r="G1174" t="b">
        <f>IF(OR(INDEX(IHZ_HAZ_AMOUNT,167,1)&lt;&gt;"",),IF(OR(INDEX(IHZ_HAZ_NETGROSS,167,1)="",INDEX(IHZ_HAZ_UNIT,167,1)="",),FALSE,TRUE),TRUE)</f>
        <v>1</v>
      </c>
      <c r="H1174" t="str">
        <f t="shared" si="36"/>
        <v>Row 167 - For ‘Transport unit’ if ‘Amount’ is given then ‘Gross / Net’ and ‘Amount unit’ are required</v>
      </c>
      <c r="I1174" t="s">
        <v>1391</v>
      </c>
      <c r="J1174" t="b">
        <f>IF(OR(INDEX(OHZ_HAZ_AMOUNT,167,1)&lt;&gt;"",),IF(OR(INDEX(OHZ_HAZ_NETGROSS,167,1)="",INDEX(OHZ_HAZ_UNIT,167,1)="",),FALSE,TRUE),TRUE)</f>
        <v>1</v>
      </c>
      <c r="K1174" t="str">
        <f t="shared" si="37"/>
        <v>Row 167 - For ‘Transport unit’ if ‘Amount’ is given then ‘Gross / Net’ and ‘Amount unit’ are required</v>
      </c>
      <c r="L1174" t="s">
        <v>1391</v>
      </c>
    </row>
    <row r="1175" spans="7:12" x14ac:dyDescent="0.25">
      <c r="G1175" t="b">
        <f>IF(OR(INDEX(IHZ_HAZ_AMOUNT,168,1)&lt;&gt;"",),IF(OR(INDEX(IHZ_HAZ_NETGROSS,168,1)="",INDEX(IHZ_HAZ_UNIT,168,1)="",),FALSE,TRUE),TRUE)</f>
        <v>1</v>
      </c>
      <c r="H1175" t="str">
        <f t="shared" si="36"/>
        <v>Row 168 - For ‘Transport unit’ if ‘Amount’ is given then ‘Gross / Net’ and ‘Amount unit’ are required</v>
      </c>
      <c r="I1175" t="s">
        <v>1391</v>
      </c>
      <c r="J1175" t="b">
        <f>IF(OR(INDEX(OHZ_HAZ_AMOUNT,168,1)&lt;&gt;"",),IF(OR(INDEX(OHZ_HAZ_NETGROSS,168,1)="",INDEX(OHZ_HAZ_UNIT,168,1)="",),FALSE,TRUE),TRUE)</f>
        <v>1</v>
      </c>
      <c r="K1175" t="str">
        <f t="shared" si="37"/>
        <v>Row 168 - For ‘Transport unit’ if ‘Amount’ is given then ‘Gross / Net’ and ‘Amount unit’ are required</v>
      </c>
      <c r="L1175" t="s">
        <v>1391</v>
      </c>
    </row>
    <row r="1176" spans="7:12" x14ac:dyDescent="0.25">
      <c r="G1176" t="b">
        <f>IF(OR(INDEX(IHZ_HAZ_AMOUNT,169,1)&lt;&gt;"",),IF(OR(INDEX(IHZ_HAZ_NETGROSS,169,1)="",INDEX(IHZ_HAZ_UNIT,169,1)="",),FALSE,TRUE),TRUE)</f>
        <v>1</v>
      </c>
      <c r="H1176" t="str">
        <f t="shared" si="36"/>
        <v>Row 169 - For ‘Transport unit’ if ‘Amount’ is given then ‘Gross / Net’ and ‘Amount unit’ are required</v>
      </c>
      <c r="I1176" t="s">
        <v>1391</v>
      </c>
      <c r="J1176" t="b">
        <f>IF(OR(INDEX(OHZ_HAZ_AMOUNT,169,1)&lt;&gt;"",),IF(OR(INDEX(OHZ_HAZ_NETGROSS,169,1)="",INDEX(OHZ_HAZ_UNIT,169,1)="",),FALSE,TRUE),TRUE)</f>
        <v>1</v>
      </c>
      <c r="K1176" t="str">
        <f t="shared" si="37"/>
        <v>Row 169 - For ‘Transport unit’ if ‘Amount’ is given then ‘Gross / Net’ and ‘Amount unit’ are required</v>
      </c>
      <c r="L1176" t="s">
        <v>1391</v>
      </c>
    </row>
    <row r="1177" spans="7:12" x14ac:dyDescent="0.25">
      <c r="G1177" t="b">
        <f>IF(OR(INDEX(IHZ_HAZ_AMOUNT,170,1)&lt;&gt;"",),IF(OR(INDEX(IHZ_HAZ_NETGROSS,170,1)="",INDEX(IHZ_HAZ_UNIT,170,1)="",),FALSE,TRUE),TRUE)</f>
        <v>1</v>
      </c>
      <c r="H1177" t="str">
        <f t="shared" si="36"/>
        <v>Row 170 - For ‘Transport unit’ if ‘Amount’ is given then ‘Gross / Net’ and ‘Amount unit’ are required</v>
      </c>
      <c r="I1177" t="s">
        <v>1391</v>
      </c>
      <c r="J1177" t="b">
        <f>IF(OR(INDEX(OHZ_HAZ_AMOUNT,170,1)&lt;&gt;"",),IF(OR(INDEX(OHZ_HAZ_NETGROSS,170,1)="",INDEX(OHZ_HAZ_UNIT,170,1)="",),FALSE,TRUE),TRUE)</f>
        <v>1</v>
      </c>
      <c r="K1177" t="str">
        <f t="shared" si="37"/>
        <v>Row 170 - For ‘Transport unit’ if ‘Amount’ is given then ‘Gross / Net’ and ‘Amount unit’ are required</v>
      </c>
      <c r="L1177" t="s">
        <v>1391</v>
      </c>
    </row>
    <row r="1178" spans="7:12" x14ac:dyDescent="0.25">
      <c r="G1178" t="b">
        <f>IF(OR(INDEX(IHZ_HAZ_AMOUNT,171,1)&lt;&gt;"",),IF(OR(INDEX(IHZ_HAZ_NETGROSS,171,1)="",INDEX(IHZ_HAZ_UNIT,171,1)="",),FALSE,TRUE),TRUE)</f>
        <v>1</v>
      </c>
      <c r="H1178" t="str">
        <f t="shared" si="36"/>
        <v>Row 171 - For ‘Transport unit’ if ‘Amount’ is given then ‘Gross / Net’ and ‘Amount unit’ are required</v>
      </c>
      <c r="I1178" t="s">
        <v>1391</v>
      </c>
      <c r="J1178" t="b">
        <f>IF(OR(INDEX(OHZ_HAZ_AMOUNT,171,1)&lt;&gt;"",),IF(OR(INDEX(OHZ_HAZ_NETGROSS,171,1)="",INDEX(OHZ_HAZ_UNIT,171,1)="",),FALSE,TRUE),TRUE)</f>
        <v>1</v>
      </c>
      <c r="K1178" t="str">
        <f t="shared" si="37"/>
        <v>Row 171 - For ‘Transport unit’ if ‘Amount’ is given then ‘Gross / Net’ and ‘Amount unit’ are required</v>
      </c>
      <c r="L1178" t="s">
        <v>1391</v>
      </c>
    </row>
    <row r="1179" spans="7:12" x14ac:dyDescent="0.25">
      <c r="G1179" t="b">
        <f>IF(OR(INDEX(IHZ_HAZ_AMOUNT,172,1)&lt;&gt;"",),IF(OR(INDEX(IHZ_HAZ_NETGROSS,172,1)="",INDEX(IHZ_HAZ_UNIT,172,1)="",),FALSE,TRUE),TRUE)</f>
        <v>1</v>
      </c>
      <c r="H1179" t="str">
        <f t="shared" si="36"/>
        <v>Row 172 - For ‘Transport unit’ if ‘Amount’ is given then ‘Gross / Net’ and ‘Amount unit’ are required</v>
      </c>
      <c r="I1179" t="s">
        <v>1391</v>
      </c>
      <c r="J1179" t="b">
        <f>IF(OR(INDEX(OHZ_HAZ_AMOUNT,172,1)&lt;&gt;"",),IF(OR(INDEX(OHZ_HAZ_NETGROSS,172,1)="",INDEX(OHZ_HAZ_UNIT,172,1)="",),FALSE,TRUE),TRUE)</f>
        <v>1</v>
      </c>
      <c r="K1179" t="str">
        <f t="shared" si="37"/>
        <v>Row 172 - For ‘Transport unit’ if ‘Amount’ is given then ‘Gross / Net’ and ‘Amount unit’ are required</v>
      </c>
      <c r="L1179" t="s">
        <v>1391</v>
      </c>
    </row>
    <row r="1180" spans="7:12" x14ac:dyDescent="0.25">
      <c r="G1180" t="b">
        <f>IF(OR(INDEX(IHZ_HAZ_AMOUNT,173,1)&lt;&gt;"",),IF(OR(INDEX(IHZ_HAZ_NETGROSS,173,1)="",INDEX(IHZ_HAZ_UNIT,173,1)="",),FALSE,TRUE),TRUE)</f>
        <v>1</v>
      </c>
      <c r="H1180" t="str">
        <f t="shared" si="36"/>
        <v>Row 173 - For ‘Transport unit’ if ‘Amount’ is given then ‘Gross / Net’ and ‘Amount unit’ are required</v>
      </c>
      <c r="I1180" t="s">
        <v>1391</v>
      </c>
      <c r="J1180" t="b">
        <f>IF(OR(INDEX(OHZ_HAZ_AMOUNT,173,1)&lt;&gt;"",),IF(OR(INDEX(OHZ_HAZ_NETGROSS,173,1)="",INDEX(OHZ_HAZ_UNIT,173,1)="",),FALSE,TRUE),TRUE)</f>
        <v>1</v>
      </c>
      <c r="K1180" t="str">
        <f t="shared" si="37"/>
        <v>Row 173 - For ‘Transport unit’ if ‘Amount’ is given then ‘Gross / Net’ and ‘Amount unit’ are required</v>
      </c>
      <c r="L1180" t="s">
        <v>1391</v>
      </c>
    </row>
    <row r="1181" spans="7:12" x14ac:dyDescent="0.25">
      <c r="G1181" t="b">
        <f>IF(OR(INDEX(IHZ_HAZ_AMOUNT,174,1)&lt;&gt;"",),IF(OR(INDEX(IHZ_HAZ_NETGROSS,174,1)="",INDEX(IHZ_HAZ_UNIT,174,1)="",),FALSE,TRUE),TRUE)</f>
        <v>1</v>
      </c>
      <c r="H1181" t="str">
        <f t="shared" si="36"/>
        <v>Row 174 - For ‘Transport unit’ if ‘Amount’ is given then ‘Gross / Net’ and ‘Amount unit’ are required</v>
      </c>
      <c r="I1181" t="s">
        <v>1391</v>
      </c>
      <c r="J1181" t="b">
        <f>IF(OR(INDEX(OHZ_HAZ_AMOUNT,174,1)&lt;&gt;"",),IF(OR(INDEX(OHZ_HAZ_NETGROSS,174,1)="",INDEX(OHZ_HAZ_UNIT,174,1)="",),FALSE,TRUE),TRUE)</f>
        <v>1</v>
      </c>
      <c r="K1181" t="str">
        <f t="shared" si="37"/>
        <v>Row 174 - For ‘Transport unit’ if ‘Amount’ is given then ‘Gross / Net’ and ‘Amount unit’ are required</v>
      </c>
      <c r="L1181" t="s">
        <v>1391</v>
      </c>
    </row>
    <row r="1182" spans="7:12" x14ac:dyDescent="0.25">
      <c r="G1182" t="b">
        <f>IF(OR(INDEX(IHZ_HAZ_AMOUNT,175,1)&lt;&gt;"",),IF(OR(INDEX(IHZ_HAZ_NETGROSS,175,1)="",INDEX(IHZ_HAZ_UNIT,175,1)="",),FALSE,TRUE),TRUE)</f>
        <v>1</v>
      </c>
      <c r="H1182" t="str">
        <f t="shared" si="36"/>
        <v>Row 175 - For ‘Transport unit’ if ‘Amount’ is given then ‘Gross / Net’ and ‘Amount unit’ are required</v>
      </c>
      <c r="I1182" t="s">
        <v>1391</v>
      </c>
      <c r="J1182" t="b">
        <f>IF(OR(INDEX(OHZ_HAZ_AMOUNT,175,1)&lt;&gt;"",),IF(OR(INDEX(OHZ_HAZ_NETGROSS,175,1)="",INDEX(OHZ_HAZ_UNIT,175,1)="",),FALSE,TRUE),TRUE)</f>
        <v>1</v>
      </c>
      <c r="K1182" t="str">
        <f t="shared" si="37"/>
        <v>Row 175 - For ‘Transport unit’ if ‘Amount’ is given then ‘Gross / Net’ and ‘Amount unit’ are required</v>
      </c>
      <c r="L1182" t="s">
        <v>1391</v>
      </c>
    </row>
    <row r="1183" spans="7:12" x14ac:dyDescent="0.25">
      <c r="G1183" t="b">
        <f>IF(OR(INDEX(IHZ_HAZ_AMOUNT,176,1)&lt;&gt;"",),IF(OR(INDEX(IHZ_HAZ_NETGROSS,176,1)="",INDEX(IHZ_HAZ_UNIT,176,1)="",),FALSE,TRUE),TRUE)</f>
        <v>1</v>
      </c>
      <c r="H1183" t="str">
        <f t="shared" si="36"/>
        <v>Row 176 - For ‘Transport unit’ if ‘Amount’ is given then ‘Gross / Net’ and ‘Amount unit’ are required</v>
      </c>
      <c r="I1183" t="s">
        <v>1391</v>
      </c>
      <c r="J1183" t="b">
        <f>IF(OR(INDEX(OHZ_HAZ_AMOUNT,176,1)&lt;&gt;"",),IF(OR(INDEX(OHZ_HAZ_NETGROSS,176,1)="",INDEX(OHZ_HAZ_UNIT,176,1)="",),FALSE,TRUE),TRUE)</f>
        <v>1</v>
      </c>
      <c r="K1183" t="str">
        <f t="shared" si="37"/>
        <v>Row 176 - For ‘Transport unit’ if ‘Amount’ is given then ‘Gross / Net’ and ‘Amount unit’ are required</v>
      </c>
      <c r="L1183" t="s">
        <v>1391</v>
      </c>
    </row>
    <row r="1184" spans="7:12" x14ac:dyDescent="0.25">
      <c r="G1184" t="b">
        <f>IF(OR(INDEX(IHZ_HAZ_AMOUNT,177,1)&lt;&gt;"",),IF(OR(INDEX(IHZ_HAZ_NETGROSS,177,1)="",INDEX(IHZ_HAZ_UNIT,177,1)="",),FALSE,TRUE),TRUE)</f>
        <v>1</v>
      </c>
      <c r="H1184" t="str">
        <f t="shared" si="36"/>
        <v>Row 177 - For ‘Transport unit’ if ‘Amount’ is given then ‘Gross / Net’ and ‘Amount unit’ are required</v>
      </c>
      <c r="I1184" t="s">
        <v>1391</v>
      </c>
      <c r="J1184" t="b">
        <f>IF(OR(INDEX(OHZ_HAZ_AMOUNT,177,1)&lt;&gt;"",),IF(OR(INDEX(OHZ_HAZ_NETGROSS,177,1)="",INDEX(OHZ_HAZ_UNIT,177,1)="",),FALSE,TRUE),TRUE)</f>
        <v>1</v>
      </c>
      <c r="K1184" t="str">
        <f t="shared" si="37"/>
        <v>Row 177 - For ‘Transport unit’ if ‘Amount’ is given then ‘Gross / Net’ and ‘Amount unit’ are required</v>
      </c>
      <c r="L1184" t="s">
        <v>1391</v>
      </c>
    </row>
    <row r="1185" spans="7:12" x14ac:dyDescent="0.25">
      <c r="G1185" t="b">
        <f>IF(OR(INDEX(IHZ_HAZ_AMOUNT,178,1)&lt;&gt;"",),IF(OR(INDEX(IHZ_HAZ_NETGROSS,178,1)="",INDEX(IHZ_HAZ_UNIT,178,1)="",),FALSE,TRUE),TRUE)</f>
        <v>1</v>
      </c>
      <c r="H1185" t="str">
        <f t="shared" si="36"/>
        <v>Row 178 - For ‘Transport unit’ if ‘Amount’ is given then ‘Gross / Net’ and ‘Amount unit’ are required</v>
      </c>
      <c r="I1185" t="s">
        <v>1391</v>
      </c>
      <c r="J1185" t="b">
        <f>IF(OR(INDEX(OHZ_HAZ_AMOUNT,178,1)&lt;&gt;"",),IF(OR(INDEX(OHZ_HAZ_NETGROSS,178,1)="",INDEX(OHZ_HAZ_UNIT,178,1)="",),FALSE,TRUE),TRUE)</f>
        <v>1</v>
      </c>
      <c r="K1185" t="str">
        <f t="shared" si="37"/>
        <v>Row 178 - For ‘Transport unit’ if ‘Amount’ is given then ‘Gross / Net’ and ‘Amount unit’ are required</v>
      </c>
      <c r="L1185" t="s">
        <v>1391</v>
      </c>
    </row>
    <row r="1186" spans="7:12" x14ac:dyDescent="0.25">
      <c r="G1186" t="b">
        <f>IF(OR(INDEX(IHZ_HAZ_AMOUNT,179,1)&lt;&gt;"",),IF(OR(INDEX(IHZ_HAZ_NETGROSS,179,1)="",INDEX(IHZ_HAZ_UNIT,179,1)="",),FALSE,TRUE),TRUE)</f>
        <v>1</v>
      </c>
      <c r="H1186" t="str">
        <f t="shared" si="36"/>
        <v>Row 179 - For ‘Transport unit’ if ‘Amount’ is given then ‘Gross / Net’ and ‘Amount unit’ are required</v>
      </c>
      <c r="I1186" t="s">
        <v>1391</v>
      </c>
      <c r="J1186" t="b">
        <f>IF(OR(INDEX(OHZ_HAZ_AMOUNT,179,1)&lt;&gt;"",),IF(OR(INDEX(OHZ_HAZ_NETGROSS,179,1)="",INDEX(OHZ_HAZ_UNIT,179,1)="",),FALSE,TRUE),TRUE)</f>
        <v>1</v>
      </c>
      <c r="K1186" t="str">
        <f t="shared" si="37"/>
        <v>Row 179 - For ‘Transport unit’ if ‘Amount’ is given then ‘Gross / Net’ and ‘Amount unit’ are required</v>
      </c>
      <c r="L1186" t="s">
        <v>1391</v>
      </c>
    </row>
    <row r="1187" spans="7:12" x14ac:dyDescent="0.25">
      <c r="G1187" t="b">
        <f>IF(OR(INDEX(IHZ_HAZ_AMOUNT,180,1)&lt;&gt;"",),IF(OR(INDEX(IHZ_HAZ_NETGROSS,180,1)="",INDEX(IHZ_HAZ_UNIT,180,1)="",),FALSE,TRUE),TRUE)</f>
        <v>1</v>
      </c>
      <c r="H1187" t="str">
        <f t="shared" si="36"/>
        <v>Row 180 - For ‘Transport unit’ if ‘Amount’ is given then ‘Gross / Net’ and ‘Amount unit’ are required</v>
      </c>
      <c r="I1187" t="s">
        <v>1391</v>
      </c>
      <c r="J1187" t="b">
        <f>IF(OR(INDEX(OHZ_HAZ_AMOUNT,180,1)&lt;&gt;"",),IF(OR(INDEX(OHZ_HAZ_NETGROSS,180,1)="",INDEX(OHZ_HAZ_UNIT,180,1)="",),FALSE,TRUE),TRUE)</f>
        <v>1</v>
      </c>
      <c r="K1187" t="str">
        <f t="shared" si="37"/>
        <v>Row 180 - For ‘Transport unit’ if ‘Amount’ is given then ‘Gross / Net’ and ‘Amount unit’ are required</v>
      </c>
      <c r="L1187" t="s">
        <v>1391</v>
      </c>
    </row>
    <row r="1188" spans="7:12" x14ac:dyDescent="0.25">
      <c r="G1188" t="b">
        <f>IF(OR(INDEX(IHZ_HAZ_AMOUNT,181,1)&lt;&gt;"",),IF(OR(INDEX(IHZ_HAZ_NETGROSS,181,1)="",INDEX(IHZ_HAZ_UNIT,181,1)="",),FALSE,TRUE),TRUE)</f>
        <v>1</v>
      </c>
      <c r="H1188" t="str">
        <f t="shared" si="36"/>
        <v>Row 181 - For ‘Transport unit’ if ‘Amount’ is given then ‘Gross / Net’ and ‘Amount unit’ are required</v>
      </c>
      <c r="I1188" t="s">
        <v>1391</v>
      </c>
      <c r="J1188" t="b">
        <f>IF(OR(INDEX(OHZ_HAZ_AMOUNT,181,1)&lt;&gt;"",),IF(OR(INDEX(OHZ_HAZ_NETGROSS,181,1)="",INDEX(OHZ_HAZ_UNIT,181,1)="",),FALSE,TRUE),TRUE)</f>
        <v>1</v>
      </c>
      <c r="K1188" t="str">
        <f t="shared" si="37"/>
        <v>Row 181 - For ‘Transport unit’ if ‘Amount’ is given then ‘Gross / Net’ and ‘Amount unit’ are required</v>
      </c>
      <c r="L1188" t="s">
        <v>1391</v>
      </c>
    </row>
    <row r="1189" spans="7:12" x14ac:dyDescent="0.25">
      <c r="G1189" t="b">
        <f>IF(OR(INDEX(IHZ_HAZ_AMOUNT,182,1)&lt;&gt;"",),IF(OR(INDEX(IHZ_HAZ_NETGROSS,182,1)="",INDEX(IHZ_HAZ_UNIT,182,1)="",),FALSE,TRUE),TRUE)</f>
        <v>1</v>
      </c>
      <c r="H1189" t="str">
        <f t="shared" si="36"/>
        <v>Row 182 - For ‘Transport unit’ if ‘Amount’ is given then ‘Gross / Net’ and ‘Amount unit’ are required</v>
      </c>
      <c r="I1189" t="s">
        <v>1391</v>
      </c>
      <c r="J1189" t="b">
        <f>IF(OR(INDEX(OHZ_HAZ_AMOUNT,182,1)&lt;&gt;"",),IF(OR(INDEX(OHZ_HAZ_NETGROSS,182,1)="",INDEX(OHZ_HAZ_UNIT,182,1)="",),FALSE,TRUE),TRUE)</f>
        <v>1</v>
      </c>
      <c r="K1189" t="str">
        <f t="shared" si="37"/>
        <v>Row 182 - For ‘Transport unit’ if ‘Amount’ is given then ‘Gross / Net’ and ‘Amount unit’ are required</v>
      </c>
      <c r="L1189" t="s">
        <v>1391</v>
      </c>
    </row>
    <row r="1190" spans="7:12" x14ac:dyDescent="0.25">
      <c r="G1190" t="b">
        <f>IF(OR(INDEX(IHZ_HAZ_AMOUNT,183,1)&lt;&gt;"",),IF(OR(INDEX(IHZ_HAZ_NETGROSS,183,1)="",INDEX(IHZ_HAZ_UNIT,183,1)="",),FALSE,TRUE),TRUE)</f>
        <v>1</v>
      </c>
      <c r="H1190" t="str">
        <f t="shared" si="36"/>
        <v>Row 183 - For ‘Transport unit’ if ‘Amount’ is given then ‘Gross / Net’ and ‘Amount unit’ are required</v>
      </c>
      <c r="I1190" t="s">
        <v>1391</v>
      </c>
      <c r="J1190" t="b">
        <f>IF(OR(INDEX(OHZ_HAZ_AMOUNT,183,1)&lt;&gt;"",),IF(OR(INDEX(OHZ_HAZ_NETGROSS,183,1)="",INDEX(OHZ_HAZ_UNIT,183,1)="",),FALSE,TRUE),TRUE)</f>
        <v>1</v>
      </c>
      <c r="K1190" t="str">
        <f t="shared" si="37"/>
        <v>Row 183 - For ‘Transport unit’ if ‘Amount’ is given then ‘Gross / Net’ and ‘Amount unit’ are required</v>
      </c>
      <c r="L1190" t="s">
        <v>1391</v>
      </c>
    </row>
    <row r="1191" spans="7:12" x14ac:dyDescent="0.25">
      <c r="G1191" t="b">
        <f>IF(OR(INDEX(IHZ_HAZ_AMOUNT,184,1)&lt;&gt;"",),IF(OR(INDEX(IHZ_HAZ_NETGROSS,184,1)="",INDEX(IHZ_HAZ_UNIT,184,1)="",),FALSE,TRUE),TRUE)</f>
        <v>1</v>
      </c>
      <c r="H1191" t="str">
        <f t="shared" si="36"/>
        <v>Row 184 - For ‘Transport unit’ if ‘Amount’ is given then ‘Gross / Net’ and ‘Amount unit’ are required</v>
      </c>
      <c r="I1191" t="s">
        <v>1391</v>
      </c>
      <c r="J1191" t="b">
        <f>IF(OR(INDEX(OHZ_HAZ_AMOUNT,184,1)&lt;&gt;"",),IF(OR(INDEX(OHZ_HAZ_NETGROSS,184,1)="",INDEX(OHZ_HAZ_UNIT,184,1)="",),FALSE,TRUE),TRUE)</f>
        <v>1</v>
      </c>
      <c r="K1191" t="str">
        <f t="shared" si="37"/>
        <v>Row 184 - For ‘Transport unit’ if ‘Amount’ is given then ‘Gross / Net’ and ‘Amount unit’ are required</v>
      </c>
      <c r="L1191" t="s">
        <v>1391</v>
      </c>
    </row>
    <row r="1192" spans="7:12" x14ac:dyDescent="0.25">
      <c r="G1192" t="b">
        <f>IF(OR(INDEX(IHZ_HAZ_AMOUNT,185,1)&lt;&gt;"",),IF(OR(INDEX(IHZ_HAZ_NETGROSS,185,1)="",INDEX(IHZ_HAZ_UNIT,185,1)="",),FALSE,TRUE),TRUE)</f>
        <v>1</v>
      </c>
      <c r="H1192" t="str">
        <f t="shared" si="36"/>
        <v>Row 185 - For ‘Transport unit’ if ‘Amount’ is given then ‘Gross / Net’ and ‘Amount unit’ are required</v>
      </c>
      <c r="I1192" t="s">
        <v>1391</v>
      </c>
      <c r="J1192" t="b">
        <f>IF(OR(INDEX(OHZ_HAZ_AMOUNT,185,1)&lt;&gt;"",),IF(OR(INDEX(OHZ_HAZ_NETGROSS,185,1)="",INDEX(OHZ_HAZ_UNIT,185,1)="",),FALSE,TRUE),TRUE)</f>
        <v>1</v>
      </c>
      <c r="K1192" t="str">
        <f t="shared" si="37"/>
        <v>Row 185 - For ‘Transport unit’ if ‘Amount’ is given then ‘Gross / Net’ and ‘Amount unit’ are required</v>
      </c>
      <c r="L1192" t="s">
        <v>1391</v>
      </c>
    </row>
    <row r="1193" spans="7:12" x14ac:dyDescent="0.25">
      <c r="G1193" t="b">
        <f>IF(OR(INDEX(IHZ_HAZ_AMOUNT,186,1)&lt;&gt;"",),IF(OR(INDEX(IHZ_HAZ_NETGROSS,186,1)="",INDEX(IHZ_HAZ_UNIT,186,1)="",),FALSE,TRUE),TRUE)</f>
        <v>1</v>
      </c>
      <c r="H1193" t="str">
        <f t="shared" si="36"/>
        <v>Row 186 - For ‘Transport unit’ if ‘Amount’ is given then ‘Gross / Net’ and ‘Amount unit’ are required</v>
      </c>
      <c r="I1193" t="s">
        <v>1391</v>
      </c>
      <c r="J1193" t="b">
        <f>IF(OR(INDEX(OHZ_HAZ_AMOUNT,186,1)&lt;&gt;"",),IF(OR(INDEX(OHZ_HAZ_NETGROSS,186,1)="",INDEX(OHZ_HAZ_UNIT,186,1)="",),FALSE,TRUE),TRUE)</f>
        <v>1</v>
      </c>
      <c r="K1193" t="str">
        <f t="shared" si="37"/>
        <v>Row 186 - For ‘Transport unit’ if ‘Amount’ is given then ‘Gross / Net’ and ‘Amount unit’ are required</v>
      </c>
      <c r="L1193" t="s">
        <v>1391</v>
      </c>
    </row>
    <row r="1194" spans="7:12" x14ac:dyDescent="0.25">
      <c r="G1194" t="b">
        <f>IF(OR(INDEX(IHZ_HAZ_AMOUNT,187,1)&lt;&gt;"",),IF(OR(INDEX(IHZ_HAZ_NETGROSS,187,1)="",INDEX(IHZ_HAZ_UNIT,187,1)="",),FALSE,TRUE),TRUE)</f>
        <v>1</v>
      </c>
      <c r="H1194" t="str">
        <f t="shared" si="36"/>
        <v>Row 187 - For ‘Transport unit’ if ‘Amount’ is given then ‘Gross / Net’ and ‘Amount unit’ are required</v>
      </c>
      <c r="I1194" t="s">
        <v>1391</v>
      </c>
      <c r="J1194" t="b">
        <f>IF(OR(INDEX(OHZ_HAZ_AMOUNT,187,1)&lt;&gt;"",),IF(OR(INDEX(OHZ_HAZ_NETGROSS,187,1)="",INDEX(OHZ_HAZ_UNIT,187,1)="",),FALSE,TRUE),TRUE)</f>
        <v>1</v>
      </c>
      <c r="K1194" t="str">
        <f t="shared" si="37"/>
        <v>Row 187 - For ‘Transport unit’ if ‘Amount’ is given then ‘Gross / Net’ and ‘Amount unit’ are required</v>
      </c>
      <c r="L1194" t="s">
        <v>1391</v>
      </c>
    </row>
    <row r="1195" spans="7:12" x14ac:dyDescent="0.25">
      <c r="G1195" t="b">
        <f>IF(OR(INDEX(IHZ_HAZ_AMOUNT,188,1)&lt;&gt;"",),IF(OR(INDEX(IHZ_HAZ_NETGROSS,188,1)="",INDEX(IHZ_HAZ_UNIT,188,1)="",),FALSE,TRUE),TRUE)</f>
        <v>1</v>
      </c>
      <c r="H1195" t="str">
        <f t="shared" si="36"/>
        <v>Row 188 - For ‘Transport unit’ if ‘Amount’ is given then ‘Gross / Net’ and ‘Amount unit’ are required</v>
      </c>
      <c r="I1195" t="s">
        <v>1391</v>
      </c>
      <c r="J1195" t="b">
        <f>IF(OR(INDEX(OHZ_HAZ_AMOUNT,188,1)&lt;&gt;"",),IF(OR(INDEX(OHZ_HAZ_NETGROSS,188,1)="",INDEX(OHZ_HAZ_UNIT,188,1)="",),FALSE,TRUE),TRUE)</f>
        <v>1</v>
      </c>
      <c r="K1195" t="str">
        <f t="shared" si="37"/>
        <v>Row 188 - For ‘Transport unit’ if ‘Amount’ is given then ‘Gross / Net’ and ‘Amount unit’ are required</v>
      </c>
      <c r="L1195" t="s">
        <v>1391</v>
      </c>
    </row>
    <row r="1196" spans="7:12" x14ac:dyDescent="0.25">
      <c r="G1196" t="b">
        <f>IF(OR(INDEX(IHZ_HAZ_AMOUNT,189,1)&lt;&gt;"",),IF(OR(INDEX(IHZ_HAZ_NETGROSS,189,1)="",INDEX(IHZ_HAZ_UNIT,189,1)="",),FALSE,TRUE),TRUE)</f>
        <v>1</v>
      </c>
      <c r="H1196" t="str">
        <f t="shared" si="36"/>
        <v>Row 189 - For ‘Transport unit’ if ‘Amount’ is given then ‘Gross / Net’ and ‘Amount unit’ are required</v>
      </c>
      <c r="I1196" t="s">
        <v>1391</v>
      </c>
      <c r="J1196" t="b">
        <f>IF(OR(INDEX(OHZ_HAZ_AMOUNT,189,1)&lt;&gt;"",),IF(OR(INDEX(OHZ_HAZ_NETGROSS,189,1)="",INDEX(OHZ_HAZ_UNIT,189,1)="",),FALSE,TRUE),TRUE)</f>
        <v>1</v>
      </c>
      <c r="K1196" t="str">
        <f t="shared" si="37"/>
        <v>Row 189 - For ‘Transport unit’ if ‘Amount’ is given then ‘Gross / Net’ and ‘Amount unit’ are required</v>
      </c>
      <c r="L1196" t="s">
        <v>1391</v>
      </c>
    </row>
    <row r="1197" spans="7:12" x14ac:dyDescent="0.25">
      <c r="G1197" t="b">
        <f>IF(OR(INDEX(IHZ_HAZ_AMOUNT,190,1)&lt;&gt;"",),IF(OR(INDEX(IHZ_HAZ_NETGROSS,190,1)="",INDEX(IHZ_HAZ_UNIT,190,1)="",),FALSE,TRUE),TRUE)</f>
        <v>1</v>
      </c>
      <c r="H1197" t="str">
        <f t="shared" si="36"/>
        <v>Row 190 - For ‘Transport unit’ if ‘Amount’ is given then ‘Gross / Net’ and ‘Amount unit’ are required</v>
      </c>
      <c r="I1197" t="s">
        <v>1391</v>
      </c>
      <c r="J1197" t="b">
        <f>IF(OR(INDEX(OHZ_HAZ_AMOUNT,190,1)&lt;&gt;"",),IF(OR(INDEX(OHZ_HAZ_NETGROSS,190,1)="",INDEX(OHZ_HAZ_UNIT,190,1)="",),FALSE,TRUE),TRUE)</f>
        <v>1</v>
      </c>
      <c r="K1197" t="str">
        <f t="shared" si="37"/>
        <v>Row 190 - For ‘Transport unit’ if ‘Amount’ is given then ‘Gross / Net’ and ‘Amount unit’ are required</v>
      </c>
      <c r="L1197" t="s">
        <v>1391</v>
      </c>
    </row>
    <row r="1198" spans="7:12" x14ac:dyDescent="0.25">
      <c r="G1198" t="b">
        <f>IF(OR(INDEX(IHZ_HAZ_AMOUNT,191,1)&lt;&gt;"",),IF(OR(INDEX(IHZ_HAZ_NETGROSS,191,1)="",INDEX(IHZ_HAZ_UNIT,191,1)="",),FALSE,TRUE),TRUE)</f>
        <v>1</v>
      </c>
      <c r="H1198" t="str">
        <f t="shared" si="36"/>
        <v>Row 191 - For ‘Transport unit’ if ‘Amount’ is given then ‘Gross / Net’ and ‘Amount unit’ are required</v>
      </c>
      <c r="I1198" t="s">
        <v>1391</v>
      </c>
      <c r="J1198" t="b">
        <f>IF(OR(INDEX(OHZ_HAZ_AMOUNT,191,1)&lt;&gt;"",),IF(OR(INDEX(OHZ_HAZ_NETGROSS,191,1)="",INDEX(OHZ_HAZ_UNIT,191,1)="",),FALSE,TRUE),TRUE)</f>
        <v>1</v>
      </c>
      <c r="K1198" t="str">
        <f t="shared" si="37"/>
        <v>Row 191 - For ‘Transport unit’ if ‘Amount’ is given then ‘Gross / Net’ and ‘Amount unit’ are required</v>
      </c>
      <c r="L1198" t="s">
        <v>1391</v>
      </c>
    </row>
    <row r="1199" spans="7:12" x14ac:dyDescent="0.25">
      <c r="G1199" t="b">
        <f>IF(OR(INDEX(IHZ_HAZ_AMOUNT,192,1)&lt;&gt;"",),IF(OR(INDEX(IHZ_HAZ_NETGROSS,192,1)="",INDEX(IHZ_HAZ_UNIT,192,1)="",),FALSE,TRUE),TRUE)</f>
        <v>1</v>
      </c>
      <c r="H1199" t="str">
        <f t="shared" si="36"/>
        <v>Row 192 - For ‘Transport unit’ if ‘Amount’ is given then ‘Gross / Net’ and ‘Amount unit’ are required</v>
      </c>
      <c r="I1199" t="s">
        <v>1391</v>
      </c>
      <c r="J1199" t="b">
        <f>IF(OR(INDEX(OHZ_HAZ_AMOUNT,192,1)&lt;&gt;"",),IF(OR(INDEX(OHZ_HAZ_NETGROSS,192,1)="",INDEX(OHZ_HAZ_UNIT,192,1)="",),FALSE,TRUE),TRUE)</f>
        <v>1</v>
      </c>
      <c r="K1199" t="str">
        <f t="shared" si="37"/>
        <v>Row 192 - For ‘Transport unit’ if ‘Amount’ is given then ‘Gross / Net’ and ‘Amount unit’ are required</v>
      </c>
      <c r="L1199" t="s">
        <v>1391</v>
      </c>
    </row>
    <row r="1200" spans="7:12" x14ac:dyDescent="0.25">
      <c r="G1200" t="b">
        <f>IF(OR(INDEX(IHZ_HAZ_AMOUNT,193,1)&lt;&gt;"",),IF(OR(INDEX(IHZ_HAZ_NETGROSS,193,1)="",INDEX(IHZ_HAZ_UNIT,193,1)="",),FALSE,TRUE),TRUE)</f>
        <v>1</v>
      </c>
      <c r="H1200" t="str">
        <f t="shared" si="36"/>
        <v>Row 193 - For ‘Transport unit’ if ‘Amount’ is given then ‘Gross / Net’ and ‘Amount unit’ are required</v>
      </c>
      <c r="I1200" t="s">
        <v>1391</v>
      </c>
      <c r="J1200" t="b">
        <f>IF(OR(INDEX(OHZ_HAZ_AMOUNT,193,1)&lt;&gt;"",),IF(OR(INDEX(OHZ_HAZ_NETGROSS,193,1)="",INDEX(OHZ_HAZ_UNIT,193,1)="",),FALSE,TRUE),TRUE)</f>
        <v>1</v>
      </c>
      <c r="K1200" t="str">
        <f t="shared" si="37"/>
        <v>Row 193 - For ‘Transport unit’ if ‘Amount’ is given then ‘Gross / Net’ and ‘Amount unit’ are required</v>
      </c>
      <c r="L1200" t="s">
        <v>1391</v>
      </c>
    </row>
    <row r="1201" spans="7:12" x14ac:dyDescent="0.25">
      <c r="G1201" t="b">
        <f>IF(OR(INDEX(IHZ_HAZ_AMOUNT,194,1)&lt;&gt;"",),IF(OR(INDEX(IHZ_HAZ_NETGROSS,194,1)="",INDEX(IHZ_HAZ_UNIT,194,1)="",),FALSE,TRUE),TRUE)</f>
        <v>1</v>
      </c>
      <c r="H1201" t="str">
        <f t="shared" ref="H1201:H1257" si="38">T194&amp;$V$5</f>
        <v>Row 194 - For ‘Transport unit’ if ‘Amount’ is given then ‘Gross / Net’ and ‘Amount unit’ are required</v>
      </c>
      <c r="I1201" t="s">
        <v>1391</v>
      </c>
      <c r="J1201" t="b">
        <f>IF(OR(INDEX(OHZ_HAZ_AMOUNT,194,1)&lt;&gt;"",),IF(OR(INDEX(OHZ_HAZ_NETGROSS,194,1)="",INDEX(OHZ_HAZ_UNIT,194,1)="",),FALSE,TRUE),TRUE)</f>
        <v>1</v>
      </c>
      <c r="K1201" t="str">
        <f t="shared" ref="K1201:K1257" si="39">T194&amp;$V$5</f>
        <v>Row 194 - For ‘Transport unit’ if ‘Amount’ is given then ‘Gross / Net’ and ‘Amount unit’ are required</v>
      </c>
      <c r="L1201" t="s">
        <v>1391</v>
      </c>
    </row>
    <row r="1202" spans="7:12" x14ac:dyDescent="0.25">
      <c r="G1202" t="b">
        <f>IF(OR(INDEX(IHZ_HAZ_AMOUNT,195,1)&lt;&gt;"",),IF(OR(INDEX(IHZ_HAZ_NETGROSS,195,1)="",INDEX(IHZ_HAZ_UNIT,195,1)="",),FALSE,TRUE),TRUE)</f>
        <v>1</v>
      </c>
      <c r="H1202" t="str">
        <f t="shared" si="38"/>
        <v>Row 195 - For ‘Transport unit’ if ‘Amount’ is given then ‘Gross / Net’ and ‘Amount unit’ are required</v>
      </c>
      <c r="I1202" t="s">
        <v>1391</v>
      </c>
      <c r="J1202" t="b">
        <f>IF(OR(INDEX(OHZ_HAZ_AMOUNT,195,1)&lt;&gt;"",),IF(OR(INDEX(OHZ_HAZ_NETGROSS,195,1)="",INDEX(OHZ_HAZ_UNIT,195,1)="",),FALSE,TRUE),TRUE)</f>
        <v>1</v>
      </c>
      <c r="K1202" t="str">
        <f t="shared" si="39"/>
        <v>Row 195 - For ‘Transport unit’ if ‘Amount’ is given then ‘Gross / Net’ and ‘Amount unit’ are required</v>
      </c>
      <c r="L1202" t="s">
        <v>1391</v>
      </c>
    </row>
    <row r="1203" spans="7:12" x14ac:dyDescent="0.25">
      <c r="G1203" t="b">
        <f>IF(OR(INDEX(IHZ_HAZ_AMOUNT,196,1)&lt;&gt;"",),IF(OR(INDEX(IHZ_HAZ_NETGROSS,196,1)="",INDEX(IHZ_HAZ_UNIT,196,1)="",),FALSE,TRUE),TRUE)</f>
        <v>1</v>
      </c>
      <c r="H1203" t="str">
        <f t="shared" si="38"/>
        <v>Row 196 - For ‘Transport unit’ if ‘Amount’ is given then ‘Gross / Net’ and ‘Amount unit’ are required</v>
      </c>
      <c r="I1203" t="s">
        <v>1391</v>
      </c>
      <c r="J1203" t="b">
        <f>IF(OR(INDEX(OHZ_HAZ_AMOUNT,196,1)&lt;&gt;"",),IF(OR(INDEX(OHZ_HAZ_NETGROSS,196,1)="",INDEX(OHZ_HAZ_UNIT,196,1)="",),FALSE,TRUE),TRUE)</f>
        <v>1</v>
      </c>
      <c r="K1203" t="str">
        <f t="shared" si="39"/>
        <v>Row 196 - For ‘Transport unit’ if ‘Amount’ is given then ‘Gross / Net’ and ‘Amount unit’ are required</v>
      </c>
      <c r="L1203" t="s">
        <v>1391</v>
      </c>
    </row>
    <row r="1204" spans="7:12" x14ac:dyDescent="0.25">
      <c r="G1204" t="b">
        <f>IF(OR(INDEX(IHZ_HAZ_AMOUNT,197,1)&lt;&gt;"",),IF(OR(INDEX(IHZ_HAZ_NETGROSS,197,1)="",INDEX(IHZ_HAZ_UNIT,197,1)="",),FALSE,TRUE),TRUE)</f>
        <v>1</v>
      </c>
      <c r="H1204" t="str">
        <f t="shared" si="38"/>
        <v>Row 197 - For ‘Transport unit’ if ‘Amount’ is given then ‘Gross / Net’ and ‘Amount unit’ are required</v>
      </c>
      <c r="I1204" t="s">
        <v>1391</v>
      </c>
      <c r="J1204" t="b">
        <f>IF(OR(INDEX(OHZ_HAZ_AMOUNT,197,1)&lt;&gt;"",),IF(OR(INDEX(OHZ_HAZ_NETGROSS,197,1)="",INDEX(OHZ_HAZ_UNIT,197,1)="",),FALSE,TRUE),TRUE)</f>
        <v>1</v>
      </c>
      <c r="K1204" t="str">
        <f t="shared" si="39"/>
        <v>Row 197 - For ‘Transport unit’ if ‘Amount’ is given then ‘Gross / Net’ and ‘Amount unit’ are required</v>
      </c>
      <c r="L1204" t="s">
        <v>1391</v>
      </c>
    </row>
    <row r="1205" spans="7:12" x14ac:dyDescent="0.25">
      <c r="G1205" t="b">
        <f>IF(OR(INDEX(IHZ_HAZ_AMOUNT,198,1)&lt;&gt;"",),IF(OR(INDEX(IHZ_HAZ_NETGROSS,198,1)="",INDEX(IHZ_HAZ_UNIT,198,1)="",),FALSE,TRUE),TRUE)</f>
        <v>1</v>
      </c>
      <c r="H1205" t="str">
        <f t="shared" si="38"/>
        <v>Row 198 - For ‘Transport unit’ if ‘Amount’ is given then ‘Gross / Net’ and ‘Amount unit’ are required</v>
      </c>
      <c r="I1205" t="s">
        <v>1391</v>
      </c>
      <c r="J1205" t="b">
        <f>IF(OR(INDEX(OHZ_HAZ_AMOUNT,198,1)&lt;&gt;"",),IF(OR(INDEX(OHZ_HAZ_NETGROSS,198,1)="",INDEX(OHZ_HAZ_UNIT,198,1)="",),FALSE,TRUE),TRUE)</f>
        <v>1</v>
      </c>
      <c r="K1205" t="str">
        <f t="shared" si="39"/>
        <v>Row 198 - For ‘Transport unit’ if ‘Amount’ is given then ‘Gross / Net’ and ‘Amount unit’ are required</v>
      </c>
      <c r="L1205" t="s">
        <v>1391</v>
      </c>
    </row>
    <row r="1206" spans="7:12" x14ac:dyDescent="0.25">
      <c r="G1206" t="b">
        <f>IF(OR(INDEX(IHZ_HAZ_AMOUNT,199,1)&lt;&gt;"",),IF(OR(INDEX(IHZ_HAZ_NETGROSS,199,1)="",INDEX(IHZ_HAZ_UNIT,199,1)="",),FALSE,TRUE),TRUE)</f>
        <v>1</v>
      </c>
      <c r="H1206" t="str">
        <f t="shared" si="38"/>
        <v>Row 199 - For ‘Transport unit’ if ‘Amount’ is given then ‘Gross / Net’ and ‘Amount unit’ are required</v>
      </c>
      <c r="I1206" t="s">
        <v>1391</v>
      </c>
      <c r="J1206" t="b">
        <f>IF(OR(INDEX(OHZ_HAZ_AMOUNT,199,1)&lt;&gt;"",),IF(OR(INDEX(OHZ_HAZ_NETGROSS,199,1)="",INDEX(OHZ_HAZ_UNIT,199,1)="",),FALSE,TRUE),TRUE)</f>
        <v>1</v>
      </c>
      <c r="K1206" t="str">
        <f t="shared" si="39"/>
        <v>Row 199 - For ‘Transport unit’ if ‘Amount’ is given then ‘Gross / Net’ and ‘Amount unit’ are required</v>
      </c>
      <c r="L1206" t="s">
        <v>1391</v>
      </c>
    </row>
    <row r="1207" spans="7:12" x14ac:dyDescent="0.25">
      <c r="G1207" t="b">
        <f>IF(OR(INDEX(IHZ_HAZ_AMOUNT,200,1)&lt;&gt;"",),IF(OR(INDEX(IHZ_HAZ_NETGROSS,200,1)="",INDEX(IHZ_HAZ_UNIT,200,1)="",),FALSE,TRUE),TRUE)</f>
        <v>1</v>
      </c>
      <c r="H1207" t="str">
        <f t="shared" si="38"/>
        <v>Row 200 - For ‘Transport unit’ if ‘Amount’ is given then ‘Gross / Net’ and ‘Amount unit’ are required</v>
      </c>
      <c r="I1207" t="s">
        <v>1391</v>
      </c>
      <c r="J1207" t="b">
        <f>IF(OR(INDEX(OHZ_HAZ_AMOUNT,200,1)&lt;&gt;"",),IF(OR(INDEX(OHZ_HAZ_NETGROSS,200,1)="",INDEX(OHZ_HAZ_UNIT,200,1)="",),FALSE,TRUE),TRUE)</f>
        <v>1</v>
      </c>
      <c r="K1207" t="str">
        <f t="shared" si="39"/>
        <v>Row 200 - For ‘Transport unit’ if ‘Amount’ is given then ‘Gross / Net’ and ‘Amount unit’ are required</v>
      </c>
      <c r="L1207" t="s">
        <v>1391</v>
      </c>
    </row>
    <row r="1208" spans="7:12" x14ac:dyDescent="0.25">
      <c r="G1208" t="b">
        <f>IF(OR(INDEX(IHZ_HAZ_AMOUNT,201,1)&lt;&gt;"",),IF(OR(INDEX(IHZ_HAZ_NETGROSS,201,1)="",INDEX(IHZ_HAZ_UNIT,201,1)="",),FALSE,TRUE),TRUE)</f>
        <v>1</v>
      </c>
      <c r="H1208" t="str">
        <f t="shared" si="38"/>
        <v>Row 201 - For ‘Transport unit’ if ‘Amount’ is given then ‘Gross / Net’ and ‘Amount unit’ are required</v>
      </c>
      <c r="I1208" t="s">
        <v>1391</v>
      </c>
      <c r="J1208" t="b">
        <f>IF(OR(INDEX(OHZ_HAZ_AMOUNT,201,1)&lt;&gt;"",),IF(OR(INDEX(OHZ_HAZ_NETGROSS,201,1)="",INDEX(OHZ_HAZ_UNIT,201,1)="",),FALSE,TRUE),TRUE)</f>
        <v>1</v>
      </c>
      <c r="K1208" t="str">
        <f t="shared" si="39"/>
        <v>Row 201 - For ‘Transport unit’ if ‘Amount’ is given then ‘Gross / Net’ and ‘Amount unit’ are required</v>
      </c>
      <c r="L1208" t="s">
        <v>1391</v>
      </c>
    </row>
    <row r="1209" spans="7:12" x14ac:dyDescent="0.25">
      <c r="G1209" t="b">
        <f>IF(OR(INDEX(IHZ_HAZ_AMOUNT,202,1)&lt;&gt;"",),IF(OR(INDEX(IHZ_HAZ_NETGROSS,202,1)="",INDEX(IHZ_HAZ_UNIT,202,1)="",),FALSE,TRUE),TRUE)</f>
        <v>1</v>
      </c>
      <c r="H1209" t="str">
        <f t="shared" si="38"/>
        <v>Row 202 - For ‘Transport unit’ if ‘Amount’ is given then ‘Gross / Net’ and ‘Amount unit’ are required</v>
      </c>
      <c r="I1209" t="s">
        <v>1391</v>
      </c>
      <c r="J1209" t="b">
        <f>IF(OR(INDEX(OHZ_HAZ_AMOUNT,202,1)&lt;&gt;"",),IF(OR(INDEX(OHZ_HAZ_NETGROSS,202,1)="",INDEX(OHZ_HAZ_UNIT,202,1)="",),FALSE,TRUE),TRUE)</f>
        <v>1</v>
      </c>
      <c r="K1209" t="str">
        <f t="shared" si="39"/>
        <v>Row 202 - For ‘Transport unit’ if ‘Amount’ is given then ‘Gross / Net’ and ‘Amount unit’ are required</v>
      </c>
      <c r="L1209" t="s">
        <v>1391</v>
      </c>
    </row>
    <row r="1210" spans="7:12" x14ac:dyDescent="0.25">
      <c r="G1210" t="b">
        <f>IF(OR(INDEX(IHZ_HAZ_AMOUNT,203,1)&lt;&gt;"",),IF(OR(INDEX(IHZ_HAZ_NETGROSS,203,1)="",INDEX(IHZ_HAZ_UNIT,203,1)="",),FALSE,TRUE),TRUE)</f>
        <v>1</v>
      </c>
      <c r="H1210" t="str">
        <f t="shared" si="38"/>
        <v>Row 203 - For ‘Transport unit’ if ‘Amount’ is given then ‘Gross / Net’ and ‘Amount unit’ are required</v>
      </c>
      <c r="I1210" t="s">
        <v>1391</v>
      </c>
      <c r="J1210" t="b">
        <f>IF(OR(INDEX(OHZ_HAZ_AMOUNT,203,1)&lt;&gt;"",),IF(OR(INDEX(OHZ_HAZ_NETGROSS,203,1)="",INDEX(OHZ_HAZ_UNIT,203,1)="",),FALSE,TRUE),TRUE)</f>
        <v>1</v>
      </c>
      <c r="K1210" t="str">
        <f t="shared" si="39"/>
        <v>Row 203 - For ‘Transport unit’ if ‘Amount’ is given then ‘Gross / Net’ and ‘Amount unit’ are required</v>
      </c>
      <c r="L1210" t="s">
        <v>1391</v>
      </c>
    </row>
    <row r="1211" spans="7:12" x14ac:dyDescent="0.25">
      <c r="G1211" t="b">
        <f>IF(OR(INDEX(IHZ_HAZ_AMOUNT,204,1)&lt;&gt;"",),IF(OR(INDEX(IHZ_HAZ_NETGROSS,204,1)="",INDEX(IHZ_HAZ_UNIT,204,1)="",),FALSE,TRUE),TRUE)</f>
        <v>1</v>
      </c>
      <c r="H1211" t="str">
        <f t="shared" si="38"/>
        <v>Row 204 - For ‘Transport unit’ if ‘Amount’ is given then ‘Gross / Net’ and ‘Amount unit’ are required</v>
      </c>
      <c r="I1211" t="s">
        <v>1391</v>
      </c>
      <c r="J1211" t="b">
        <f>IF(OR(INDEX(OHZ_HAZ_AMOUNT,204,1)&lt;&gt;"",),IF(OR(INDEX(OHZ_HAZ_NETGROSS,204,1)="",INDEX(OHZ_HAZ_UNIT,204,1)="",),FALSE,TRUE),TRUE)</f>
        <v>1</v>
      </c>
      <c r="K1211" t="str">
        <f t="shared" si="39"/>
        <v>Row 204 - For ‘Transport unit’ if ‘Amount’ is given then ‘Gross / Net’ and ‘Amount unit’ are required</v>
      </c>
      <c r="L1211" t="s">
        <v>1391</v>
      </c>
    </row>
    <row r="1212" spans="7:12" x14ac:dyDescent="0.25">
      <c r="G1212" t="b">
        <f>IF(OR(INDEX(IHZ_HAZ_AMOUNT,205,1)&lt;&gt;"",),IF(OR(INDEX(IHZ_HAZ_NETGROSS,205,1)="",INDEX(IHZ_HAZ_UNIT,205,1)="",),FALSE,TRUE),TRUE)</f>
        <v>1</v>
      </c>
      <c r="H1212" t="str">
        <f t="shared" si="38"/>
        <v>Row 205 - For ‘Transport unit’ if ‘Amount’ is given then ‘Gross / Net’ and ‘Amount unit’ are required</v>
      </c>
      <c r="I1212" t="s">
        <v>1391</v>
      </c>
      <c r="J1212" t="b">
        <f>IF(OR(INDEX(OHZ_HAZ_AMOUNT,205,1)&lt;&gt;"",),IF(OR(INDEX(OHZ_HAZ_NETGROSS,205,1)="",INDEX(OHZ_HAZ_UNIT,205,1)="",),FALSE,TRUE),TRUE)</f>
        <v>1</v>
      </c>
      <c r="K1212" t="str">
        <f t="shared" si="39"/>
        <v>Row 205 - For ‘Transport unit’ if ‘Amount’ is given then ‘Gross / Net’ and ‘Amount unit’ are required</v>
      </c>
      <c r="L1212" t="s">
        <v>1391</v>
      </c>
    </row>
    <row r="1213" spans="7:12" x14ac:dyDescent="0.25">
      <c r="G1213" t="b">
        <f>IF(OR(INDEX(IHZ_HAZ_AMOUNT,206,1)&lt;&gt;"",),IF(OR(INDEX(IHZ_HAZ_NETGROSS,206,1)="",INDEX(IHZ_HAZ_UNIT,206,1)="",),FALSE,TRUE),TRUE)</f>
        <v>1</v>
      </c>
      <c r="H1213" t="str">
        <f t="shared" si="38"/>
        <v>Row 206 - For ‘Transport unit’ if ‘Amount’ is given then ‘Gross / Net’ and ‘Amount unit’ are required</v>
      </c>
      <c r="I1213" t="s">
        <v>1391</v>
      </c>
      <c r="J1213" t="b">
        <f>IF(OR(INDEX(OHZ_HAZ_AMOUNT,206,1)&lt;&gt;"",),IF(OR(INDEX(OHZ_HAZ_NETGROSS,206,1)="",INDEX(OHZ_HAZ_UNIT,206,1)="",),FALSE,TRUE),TRUE)</f>
        <v>1</v>
      </c>
      <c r="K1213" t="str">
        <f t="shared" si="39"/>
        <v>Row 206 - For ‘Transport unit’ if ‘Amount’ is given then ‘Gross / Net’ and ‘Amount unit’ are required</v>
      </c>
      <c r="L1213" t="s">
        <v>1391</v>
      </c>
    </row>
    <row r="1214" spans="7:12" x14ac:dyDescent="0.25">
      <c r="G1214" t="b">
        <f>IF(OR(INDEX(IHZ_HAZ_AMOUNT,207,1)&lt;&gt;"",),IF(OR(INDEX(IHZ_HAZ_NETGROSS,207,1)="",INDEX(IHZ_HAZ_UNIT,207,1)="",),FALSE,TRUE),TRUE)</f>
        <v>1</v>
      </c>
      <c r="H1214" t="str">
        <f t="shared" si="38"/>
        <v>Row 207 - For ‘Transport unit’ if ‘Amount’ is given then ‘Gross / Net’ and ‘Amount unit’ are required</v>
      </c>
      <c r="I1214" t="s">
        <v>1391</v>
      </c>
      <c r="J1214" t="b">
        <f>IF(OR(INDEX(OHZ_HAZ_AMOUNT,207,1)&lt;&gt;"",),IF(OR(INDEX(OHZ_HAZ_NETGROSS,207,1)="",INDEX(OHZ_HAZ_UNIT,207,1)="",),FALSE,TRUE),TRUE)</f>
        <v>1</v>
      </c>
      <c r="K1214" t="str">
        <f t="shared" si="39"/>
        <v>Row 207 - For ‘Transport unit’ if ‘Amount’ is given then ‘Gross / Net’ and ‘Amount unit’ are required</v>
      </c>
      <c r="L1214" t="s">
        <v>1391</v>
      </c>
    </row>
    <row r="1215" spans="7:12" x14ac:dyDescent="0.25">
      <c r="G1215" t="b">
        <f>IF(OR(INDEX(IHZ_HAZ_AMOUNT,208,1)&lt;&gt;"",),IF(OR(INDEX(IHZ_HAZ_NETGROSS,208,1)="",INDEX(IHZ_HAZ_UNIT,208,1)="",),FALSE,TRUE),TRUE)</f>
        <v>1</v>
      </c>
      <c r="H1215" t="str">
        <f t="shared" si="38"/>
        <v>Row 208 - For ‘Transport unit’ if ‘Amount’ is given then ‘Gross / Net’ and ‘Amount unit’ are required</v>
      </c>
      <c r="I1215" t="s">
        <v>1391</v>
      </c>
      <c r="J1215" t="b">
        <f>IF(OR(INDEX(OHZ_HAZ_AMOUNT,208,1)&lt;&gt;"",),IF(OR(INDEX(OHZ_HAZ_NETGROSS,208,1)="",INDEX(OHZ_HAZ_UNIT,208,1)="",),FALSE,TRUE),TRUE)</f>
        <v>1</v>
      </c>
      <c r="K1215" t="str">
        <f t="shared" si="39"/>
        <v>Row 208 - For ‘Transport unit’ if ‘Amount’ is given then ‘Gross / Net’ and ‘Amount unit’ are required</v>
      </c>
      <c r="L1215" t="s">
        <v>1391</v>
      </c>
    </row>
    <row r="1216" spans="7:12" x14ac:dyDescent="0.25">
      <c r="G1216" t="b">
        <f>IF(OR(INDEX(IHZ_HAZ_AMOUNT,209,1)&lt;&gt;"",),IF(OR(INDEX(IHZ_HAZ_NETGROSS,209,1)="",INDEX(IHZ_HAZ_UNIT,209,1)="",),FALSE,TRUE),TRUE)</f>
        <v>1</v>
      </c>
      <c r="H1216" t="str">
        <f t="shared" si="38"/>
        <v>Row 209 - For ‘Transport unit’ if ‘Amount’ is given then ‘Gross / Net’ and ‘Amount unit’ are required</v>
      </c>
      <c r="I1216" t="s">
        <v>1391</v>
      </c>
      <c r="J1216" t="b">
        <f>IF(OR(INDEX(OHZ_HAZ_AMOUNT,209,1)&lt;&gt;"",),IF(OR(INDEX(OHZ_HAZ_NETGROSS,209,1)="",INDEX(OHZ_HAZ_UNIT,209,1)="",),FALSE,TRUE),TRUE)</f>
        <v>1</v>
      </c>
      <c r="K1216" t="str">
        <f t="shared" si="39"/>
        <v>Row 209 - For ‘Transport unit’ if ‘Amount’ is given then ‘Gross / Net’ and ‘Amount unit’ are required</v>
      </c>
      <c r="L1216" t="s">
        <v>1391</v>
      </c>
    </row>
    <row r="1217" spans="7:12" x14ac:dyDescent="0.25">
      <c r="G1217" t="b">
        <f>IF(OR(INDEX(IHZ_HAZ_AMOUNT,210,1)&lt;&gt;"",),IF(OR(INDEX(IHZ_HAZ_NETGROSS,210,1)="",INDEX(IHZ_HAZ_UNIT,210,1)="",),FALSE,TRUE),TRUE)</f>
        <v>1</v>
      </c>
      <c r="H1217" t="str">
        <f t="shared" si="38"/>
        <v>Row 210 - For ‘Transport unit’ if ‘Amount’ is given then ‘Gross / Net’ and ‘Amount unit’ are required</v>
      </c>
      <c r="I1217" t="s">
        <v>1391</v>
      </c>
      <c r="J1217" t="b">
        <f>IF(OR(INDEX(OHZ_HAZ_AMOUNT,210,1)&lt;&gt;"",),IF(OR(INDEX(OHZ_HAZ_NETGROSS,210,1)="",INDEX(OHZ_HAZ_UNIT,210,1)="",),FALSE,TRUE),TRUE)</f>
        <v>1</v>
      </c>
      <c r="K1217" t="str">
        <f t="shared" si="39"/>
        <v>Row 210 - For ‘Transport unit’ if ‘Amount’ is given then ‘Gross / Net’ and ‘Amount unit’ are required</v>
      </c>
      <c r="L1217" t="s">
        <v>1391</v>
      </c>
    </row>
    <row r="1218" spans="7:12" x14ac:dyDescent="0.25">
      <c r="G1218" t="b">
        <f>IF(OR(INDEX(IHZ_HAZ_AMOUNT,211,1)&lt;&gt;"",),IF(OR(INDEX(IHZ_HAZ_NETGROSS,211,1)="",INDEX(IHZ_HAZ_UNIT,211,1)="",),FALSE,TRUE),TRUE)</f>
        <v>1</v>
      </c>
      <c r="H1218" t="str">
        <f t="shared" si="38"/>
        <v>Row 211 - For ‘Transport unit’ if ‘Amount’ is given then ‘Gross / Net’ and ‘Amount unit’ are required</v>
      </c>
      <c r="I1218" t="s">
        <v>1391</v>
      </c>
      <c r="J1218" t="b">
        <f>IF(OR(INDEX(OHZ_HAZ_AMOUNT,211,1)&lt;&gt;"",),IF(OR(INDEX(OHZ_HAZ_NETGROSS,211,1)="",INDEX(OHZ_HAZ_UNIT,211,1)="",),FALSE,TRUE),TRUE)</f>
        <v>1</v>
      </c>
      <c r="K1218" t="str">
        <f t="shared" si="39"/>
        <v>Row 211 - For ‘Transport unit’ if ‘Amount’ is given then ‘Gross / Net’ and ‘Amount unit’ are required</v>
      </c>
      <c r="L1218" t="s">
        <v>1391</v>
      </c>
    </row>
    <row r="1219" spans="7:12" x14ac:dyDescent="0.25">
      <c r="G1219" t="b">
        <f>IF(OR(INDEX(IHZ_HAZ_AMOUNT,212,1)&lt;&gt;"",),IF(OR(INDEX(IHZ_HAZ_NETGROSS,212,1)="",INDEX(IHZ_HAZ_UNIT,212,1)="",),FALSE,TRUE),TRUE)</f>
        <v>1</v>
      </c>
      <c r="H1219" t="str">
        <f t="shared" si="38"/>
        <v>Row 212 - For ‘Transport unit’ if ‘Amount’ is given then ‘Gross / Net’ and ‘Amount unit’ are required</v>
      </c>
      <c r="I1219" t="s">
        <v>1391</v>
      </c>
      <c r="J1219" t="b">
        <f>IF(OR(INDEX(OHZ_HAZ_AMOUNT,212,1)&lt;&gt;"",),IF(OR(INDEX(OHZ_HAZ_NETGROSS,212,1)="",INDEX(OHZ_HAZ_UNIT,212,1)="",),FALSE,TRUE),TRUE)</f>
        <v>1</v>
      </c>
      <c r="K1219" t="str">
        <f t="shared" si="39"/>
        <v>Row 212 - For ‘Transport unit’ if ‘Amount’ is given then ‘Gross / Net’ and ‘Amount unit’ are required</v>
      </c>
      <c r="L1219" t="s">
        <v>1391</v>
      </c>
    </row>
    <row r="1220" spans="7:12" x14ac:dyDescent="0.25">
      <c r="G1220" t="b">
        <f>IF(OR(INDEX(IHZ_HAZ_AMOUNT,213,1)&lt;&gt;"",),IF(OR(INDEX(IHZ_HAZ_NETGROSS,213,1)="",INDEX(IHZ_HAZ_UNIT,213,1)="",),FALSE,TRUE),TRUE)</f>
        <v>1</v>
      </c>
      <c r="H1220" t="str">
        <f t="shared" si="38"/>
        <v>Row 213 - For ‘Transport unit’ if ‘Amount’ is given then ‘Gross / Net’ and ‘Amount unit’ are required</v>
      </c>
      <c r="I1220" t="s">
        <v>1391</v>
      </c>
      <c r="J1220" t="b">
        <f>IF(OR(INDEX(OHZ_HAZ_AMOUNT,213,1)&lt;&gt;"",),IF(OR(INDEX(OHZ_HAZ_NETGROSS,213,1)="",INDEX(OHZ_HAZ_UNIT,213,1)="",),FALSE,TRUE),TRUE)</f>
        <v>1</v>
      </c>
      <c r="K1220" t="str">
        <f t="shared" si="39"/>
        <v>Row 213 - For ‘Transport unit’ if ‘Amount’ is given then ‘Gross / Net’ and ‘Amount unit’ are required</v>
      </c>
      <c r="L1220" t="s">
        <v>1391</v>
      </c>
    </row>
    <row r="1221" spans="7:12" x14ac:dyDescent="0.25">
      <c r="G1221" t="b">
        <f>IF(OR(INDEX(IHZ_HAZ_AMOUNT,214,1)&lt;&gt;"",),IF(OR(INDEX(IHZ_HAZ_NETGROSS,214,1)="",INDEX(IHZ_HAZ_UNIT,214,1)="",),FALSE,TRUE),TRUE)</f>
        <v>1</v>
      </c>
      <c r="H1221" t="str">
        <f t="shared" si="38"/>
        <v>Row 214 - For ‘Transport unit’ if ‘Amount’ is given then ‘Gross / Net’ and ‘Amount unit’ are required</v>
      </c>
      <c r="I1221" t="s">
        <v>1391</v>
      </c>
      <c r="J1221" t="b">
        <f>IF(OR(INDEX(OHZ_HAZ_AMOUNT,214,1)&lt;&gt;"",),IF(OR(INDEX(OHZ_HAZ_NETGROSS,214,1)="",INDEX(OHZ_HAZ_UNIT,214,1)="",),FALSE,TRUE),TRUE)</f>
        <v>1</v>
      </c>
      <c r="K1221" t="str">
        <f t="shared" si="39"/>
        <v>Row 214 - For ‘Transport unit’ if ‘Amount’ is given then ‘Gross / Net’ and ‘Amount unit’ are required</v>
      </c>
      <c r="L1221" t="s">
        <v>1391</v>
      </c>
    </row>
    <row r="1222" spans="7:12" x14ac:dyDescent="0.25">
      <c r="G1222" t="b">
        <f>IF(OR(INDEX(IHZ_HAZ_AMOUNT,215,1)&lt;&gt;"",),IF(OR(INDEX(IHZ_HAZ_NETGROSS,215,1)="",INDEX(IHZ_HAZ_UNIT,215,1)="",),FALSE,TRUE),TRUE)</f>
        <v>1</v>
      </c>
      <c r="H1222" t="str">
        <f t="shared" si="38"/>
        <v>Row 215 - For ‘Transport unit’ if ‘Amount’ is given then ‘Gross / Net’ and ‘Amount unit’ are required</v>
      </c>
      <c r="I1222" t="s">
        <v>1391</v>
      </c>
      <c r="J1222" t="b">
        <f>IF(OR(INDEX(OHZ_HAZ_AMOUNT,215,1)&lt;&gt;"",),IF(OR(INDEX(OHZ_HAZ_NETGROSS,215,1)="",INDEX(OHZ_HAZ_UNIT,215,1)="",),FALSE,TRUE),TRUE)</f>
        <v>1</v>
      </c>
      <c r="K1222" t="str">
        <f t="shared" si="39"/>
        <v>Row 215 - For ‘Transport unit’ if ‘Amount’ is given then ‘Gross / Net’ and ‘Amount unit’ are required</v>
      </c>
      <c r="L1222" t="s">
        <v>1391</v>
      </c>
    </row>
    <row r="1223" spans="7:12" x14ac:dyDescent="0.25">
      <c r="G1223" t="b">
        <f>IF(OR(INDEX(IHZ_HAZ_AMOUNT,216,1)&lt;&gt;"",),IF(OR(INDEX(IHZ_HAZ_NETGROSS,216,1)="",INDEX(IHZ_HAZ_UNIT,216,1)="",),FALSE,TRUE),TRUE)</f>
        <v>1</v>
      </c>
      <c r="H1223" t="str">
        <f t="shared" si="38"/>
        <v>Row 216 - For ‘Transport unit’ if ‘Amount’ is given then ‘Gross / Net’ and ‘Amount unit’ are required</v>
      </c>
      <c r="I1223" t="s">
        <v>1391</v>
      </c>
      <c r="J1223" t="b">
        <f>IF(OR(INDEX(OHZ_HAZ_AMOUNT,216,1)&lt;&gt;"",),IF(OR(INDEX(OHZ_HAZ_NETGROSS,216,1)="",INDEX(OHZ_HAZ_UNIT,216,1)="",),FALSE,TRUE),TRUE)</f>
        <v>1</v>
      </c>
      <c r="K1223" t="str">
        <f t="shared" si="39"/>
        <v>Row 216 - For ‘Transport unit’ if ‘Amount’ is given then ‘Gross / Net’ and ‘Amount unit’ are required</v>
      </c>
      <c r="L1223" t="s">
        <v>1391</v>
      </c>
    </row>
    <row r="1224" spans="7:12" x14ac:dyDescent="0.25">
      <c r="G1224" t="b">
        <f>IF(OR(INDEX(IHZ_HAZ_AMOUNT,217,1)&lt;&gt;"",),IF(OR(INDEX(IHZ_HAZ_NETGROSS,217,1)="",INDEX(IHZ_HAZ_UNIT,217,1)="",),FALSE,TRUE),TRUE)</f>
        <v>1</v>
      </c>
      <c r="H1224" t="str">
        <f t="shared" si="38"/>
        <v>Row 217 - For ‘Transport unit’ if ‘Amount’ is given then ‘Gross / Net’ and ‘Amount unit’ are required</v>
      </c>
      <c r="I1224" t="s">
        <v>1391</v>
      </c>
      <c r="J1224" t="b">
        <f>IF(OR(INDEX(OHZ_HAZ_AMOUNT,217,1)&lt;&gt;"",),IF(OR(INDEX(OHZ_HAZ_NETGROSS,217,1)="",INDEX(OHZ_HAZ_UNIT,217,1)="",),FALSE,TRUE),TRUE)</f>
        <v>1</v>
      </c>
      <c r="K1224" t="str">
        <f t="shared" si="39"/>
        <v>Row 217 - For ‘Transport unit’ if ‘Amount’ is given then ‘Gross / Net’ and ‘Amount unit’ are required</v>
      </c>
      <c r="L1224" t="s">
        <v>1391</v>
      </c>
    </row>
    <row r="1225" spans="7:12" x14ac:dyDescent="0.25">
      <c r="G1225" t="b">
        <f>IF(OR(INDEX(IHZ_HAZ_AMOUNT,218,1)&lt;&gt;"",),IF(OR(INDEX(IHZ_HAZ_NETGROSS,218,1)="",INDEX(IHZ_HAZ_UNIT,218,1)="",),FALSE,TRUE),TRUE)</f>
        <v>1</v>
      </c>
      <c r="H1225" t="str">
        <f t="shared" si="38"/>
        <v>Row 218 - For ‘Transport unit’ if ‘Amount’ is given then ‘Gross / Net’ and ‘Amount unit’ are required</v>
      </c>
      <c r="I1225" t="s">
        <v>1391</v>
      </c>
      <c r="J1225" t="b">
        <f>IF(OR(INDEX(OHZ_HAZ_AMOUNT,218,1)&lt;&gt;"",),IF(OR(INDEX(OHZ_HAZ_NETGROSS,218,1)="",INDEX(OHZ_HAZ_UNIT,218,1)="",),FALSE,TRUE),TRUE)</f>
        <v>1</v>
      </c>
      <c r="K1225" t="str">
        <f t="shared" si="39"/>
        <v>Row 218 - For ‘Transport unit’ if ‘Amount’ is given then ‘Gross / Net’ and ‘Amount unit’ are required</v>
      </c>
      <c r="L1225" t="s">
        <v>1391</v>
      </c>
    </row>
    <row r="1226" spans="7:12" x14ac:dyDescent="0.25">
      <c r="G1226" t="b">
        <f>IF(OR(INDEX(IHZ_HAZ_AMOUNT,219,1)&lt;&gt;"",),IF(OR(INDEX(IHZ_HAZ_NETGROSS,219,1)="",INDEX(IHZ_HAZ_UNIT,219,1)="",),FALSE,TRUE),TRUE)</f>
        <v>1</v>
      </c>
      <c r="H1226" t="str">
        <f t="shared" si="38"/>
        <v>Row 219 - For ‘Transport unit’ if ‘Amount’ is given then ‘Gross / Net’ and ‘Amount unit’ are required</v>
      </c>
      <c r="I1226" t="s">
        <v>1391</v>
      </c>
      <c r="J1226" t="b">
        <f>IF(OR(INDEX(OHZ_HAZ_AMOUNT,219,1)&lt;&gt;"",),IF(OR(INDEX(OHZ_HAZ_NETGROSS,219,1)="",INDEX(OHZ_HAZ_UNIT,219,1)="",),FALSE,TRUE),TRUE)</f>
        <v>1</v>
      </c>
      <c r="K1226" t="str">
        <f t="shared" si="39"/>
        <v>Row 219 - For ‘Transport unit’ if ‘Amount’ is given then ‘Gross / Net’ and ‘Amount unit’ are required</v>
      </c>
      <c r="L1226" t="s">
        <v>1391</v>
      </c>
    </row>
    <row r="1227" spans="7:12" x14ac:dyDescent="0.25">
      <c r="G1227" t="b">
        <f>IF(OR(INDEX(IHZ_HAZ_AMOUNT,220,1)&lt;&gt;"",),IF(OR(INDEX(IHZ_HAZ_NETGROSS,220,1)="",INDEX(IHZ_HAZ_UNIT,220,1)="",),FALSE,TRUE),TRUE)</f>
        <v>1</v>
      </c>
      <c r="H1227" t="str">
        <f t="shared" si="38"/>
        <v>Row 220 - For ‘Transport unit’ if ‘Amount’ is given then ‘Gross / Net’ and ‘Amount unit’ are required</v>
      </c>
      <c r="I1227" t="s">
        <v>1391</v>
      </c>
      <c r="J1227" t="b">
        <f>IF(OR(INDEX(OHZ_HAZ_AMOUNT,220,1)&lt;&gt;"",),IF(OR(INDEX(OHZ_HAZ_NETGROSS,220,1)="",INDEX(OHZ_HAZ_UNIT,220,1)="",),FALSE,TRUE),TRUE)</f>
        <v>1</v>
      </c>
      <c r="K1227" t="str">
        <f t="shared" si="39"/>
        <v>Row 220 - For ‘Transport unit’ if ‘Amount’ is given then ‘Gross / Net’ and ‘Amount unit’ are required</v>
      </c>
      <c r="L1227" t="s">
        <v>1391</v>
      </c>
    </row>
    <row r="1228" spans="7:12" x14ac:dyDescent="0.25">
      <c r="G1228" t="b">
        <f>IF(OR(INDEX(IHZ_HAZ_AMOUNT,221,1)&lt;&gt;"",),IF(OR(INDEX(IHZ_HAZ_NETGROSS,221,1)="",INDEX(IHZ_HAZ_UNIT,221,1)="",),FALSE,TRUE),TRUE)</f>
        <v>1</v>
      </c>
      <c r="H1228" t="str">
        <f t="shared" si="38"/>
        <v>Row 221 - For ‘Transport unit’ if ‘Amount’ is given then ‘Gross / Net’ and ‘Amount unit’ are required</v>
      </c>
      <c r="I1228" t="s">
        <v>1391</v>
      </c>
      <c r="J1228" t="b">
        <f>IF(OR(INDEX(OHZ_HAZ_AMOUNT,221,1)&lt;&gt;"",),IF(OR(INDEX(OHZ_HAZ_NETGROSS,221,1)="",INDEX(OHZ_HAZ_UNIT,221,1)="",),FALSE,TRUE),TRUE)</f>
        <v>1</v>
      </c>
      <c r="K1228" t="str">
        <f t="shared" si="39"/>
        <v>Row 221 - For ‘Transport unit’ if ‘Amount’ is given then ‘Gross / Net’ and ‘Amount unit’ are required</v>
      </c>
      <c r="L1228" t="s">
        <v>1391</v>
      </c>
    </row>
    <row r="1229" spans="7:12" x14ac:dyDescent="0.25">
      <c r="G1229" t="b">
        <f>IF(OR(INDEX(IHZ_HAZ_AMOUNT,222,1)&lt;&gt;"",),IF(OR(INDEX(IHZ_HAZ_NETGROSS,222,1)="",INDEX(IHZ_HAZ_UNIT,222,1)="",),FALSE,TRUE),TRUE)</f>
        <v>1</v>
      </c>
      <c r="H1229" t="str">
        <f t="shared" si="38"/>
        <v>Row 222 - For ‘Transport unit’ if ‘Amount’ is given then ‘Gross / Net’ and ‘Amount unit’ are required</v>
      </c>
      <c r="I1229" t="s">
        <v>1391</v>
      </c>
      <c r="J1229" t="b">
        <f>IF(OR(INDEX(OHZ_HAZ_AMOUNT,222,1)&lt;&gt;"",),IF(OR(INDEX(OHZ_HAZ_NETGROSS,222,1)="",INDEX(OHZ_HAZ_UNIT,222,1)="",),FALSE,TRUE),TRUE)</f>
        <v>1</v>
      </c>
      <c r="K1229" t="str">
        <f t="shared" si="39"/>
        <v>Row 222 - For ‘Transport unit’ if ‘Amount’ is given then ‘Gross / Net’ and ‘Amount unit’ are required</v>
      </c>
      <c r="L1229" t="s">
        <v>1391</v>
      </c>
    </row>
    <row r="1230" spans="7:12" x14ac:dyDescent="0.25">
      <c r="G1230" t="b">
        <f>IF(OR(INDEX(IHZ_HAZ_AMOUNT,223,1)&lt;&gt;"",),IF(OR(INDEX(IHZ_HAZ_NETGROSS,223,1)="",INDEX(IHZ_HAZ_UNIT,223,1)="",),FALSE,TRUE),TRUE)</f>
        <v>1</v>
      </c>
      <c r="H1230" t="str">
        <f t="shared" si="38"/>
        <v>Row 223 - For ‘Transport unit’ if ‘Amount’ is given then ‘Gross / Net’ and ‘Amount unit’ are required</v>
      </c>
      <c r="I1230" t="s">
        <v>1391</v>
      </c>
      <c r="J1230" t="b">
        <f>IF(OR(INDEX(OHZ_HAZ_AMOUNT,223,1)&lt;&gt;"",),IF(OR(INDEX(OHZ_HAZ_NETGROSS,223,1)="",INDEX(OHZ_HAZ_UNIT,223,1)="",),FALSE,TRUE),TRUE)</f>
        <v>1</v>
      </c>
      <c r="K1230" t="str">
        <f t="shared" si="39"/>
        <v>Row 223 - For ‘Transport unit’ if ‘Amount’ is given then ‘Gross / Net’ and ‘Amount unit’ are required</v>
      </c>
      <c r="L1230" t="s">
        <v>1391</v>
      </c>
    </row>
    <row r="1231" spans="7:12" x14ac:dyDescent="0.25">
      <c r="G1231" t="b">
        <f>IF(OR(INDEX(IHZ_HAZ_AMOUNT,224,1)&lt;&gt;"",),IF(OR(INDEX(IHZ_HAZ_NETGROSS,224,1)="",INDEX(IHZ_HAZ_UNIT,224,1)="",),FALSE,TRUE),TRUE)</f>
        <v>1</v>
      </c>
      <c r="H1231" t="str">
        <f t="shared" si="38"/>
        <v>Row 224 - For ‘Transport unit’ if ‘Amount’ is given then ‘Gross / Net’ and ‘Amount unit’ are required</v>
      </c>
      <c r="I1231" t="s">
        <v>1391</v>
      </c>
      <c r="J1231" t="b">
        <f>IF(OR(INDEX(OHZ_HAZ_AMOUNT,224,1)&lt;&gt;"",),IF(OR(INDEX(OHZ_HAZ_NETGROSS,224,1)="",INDEX(OHZ_HAZ_UNIT,224,1)="",),FALSE,TRUE),TRUE)</f>
        <v>1</v>
      </c>
      <c r="K1231" t="str">
        <f t="shared" si="39"/>
        <v>Row 224 - For ‘Transport unit’ if ‘Amount’ is given then ‘Gross / Net’ and ‘Amount unit’ are required</v>
      </c>
      <c r="L1231" t="s">
        <v>1391</v>
      </c>
    </row>
    <row r="1232" spans="7:12" x14ac:dyDescent="0.25">
      <c r="G1232" t="b">
        <f>IF(OR(INDEX(IHZ_HAZ_AMOUNT,225,1)&lt;&gt;"",),IF(OR(INDEX(IHZ_HAZ_NETGROSS,225,1)="",INDEX(IHZ_HAZ_UNIT,225,1)="",),FALSE,TRUE),TRUE)</f>
        <v>1</v>
      </c>
      <c r="H1232" t="str">
        <f t="shared" si="38"/>
        <v>Row 225 - For ‘Transport unit’ if ‘Amount’ is given then ‘Gross / Net’ and ‘Amount unit’ are required</v>
      </c>
      <c r="I1232" t="s">
        <v>1391</v>
      </c>
      <c r="J1232" t="b">
        <f>IF(OR(INDEX(OHZ_HAZ_AMOUNT,225,1)&lt;&gt;"",),IF(OR(INDEX(OHZ_HAZ_NETGROSS,225,1)="",INDEX(OHZ_HAZ_UNIT,225,1)="",),FALSE,TRUE),TRUE)</f>
        <v>1</v>
      </c>
      <c r="K1232" t="str">
        <f t="shared" si="39"/>
        <v>Row 225 - For ‘Transport unit’ if ‘Amount’ is given then ‘Gross / Net’ and ‘Amount unit’ are required</v>
      </c>
      <c r="L1232" t="s">
        <v>1391</v>
      </c>
    </row>
    <row r="1233" spans="7:12" x14ac:dyDescent="0.25">
      <c r="G1233" t="b">
        <f>IF(OR(INDEX(IHZ_HAZ_AMOUNT,226,1)&lt;&gt;"",),IF(OR(INDEX(IHZ_HAZ_NETGROSS,226,1)="",INDEX(IHZ_HAZ_UNIT,226,1)="",),FALSE,TRUE),TRUE)</f>
        <v>1</v>
      </c>
      <c r="H1233" t="str">
        <f t="shared" si="38"/>
        <v>Row 226 - For ‘Transport unit’ if ‘Amount’ is given then ‘Gross / Net’ and ‘Amount unit’ are required</v>
      </c>
      <c r="I1233" t="s">
        <v>1391</v>
      </c>
      <c r="J1233" t="b">
        <f>IF(OR(INDEX(OHZ_HAZ_AMOUNT,226,1)&lt;&gt;"",),IF(OR(INDEX(OHZ_HAZ_NETGROSS,226,1)="",INDEX(OHZ_HAZ_UNIT,226,1)="",),FALSE,TRUE),TRUE)</f>
        <v>1</v>
      </c>
      <c r="K1233" t="str">
        <f t="shared" si="39"/>
        <v>Row 226 - For ‘Transport unit’ if ‘Amount’ is given then ‘Gross / Net’ and ‘Amount unit’ are required</v>
      </c>
      <c r="L1233" t="s">
        <v>1391</v>
      </c>
    </row>
    <row r="1234" spans="7:12" x14ac:dyDescent="0.25">
      <c r="G1234" t="b">
        <f>IF(OR(INDEX(IHZ_HAZ_AMOUNT,227,1)&lt;&gt;"",),IF(OR(INDEX(IHZ_HAZ_NETGROSS,227,1)="",INDEX(IHZ_HAZ_UNIT,227,1)="",),FALSE,TRUE),TRUE)</f>
        <v>1</v>
      </c>
      <c r="H1234" t="str">
        <f t="shared" si="38"/>
        <v>Row 227 - For ‘Transport unit’ if ‘Amount’ is given then ‘Gross / Net’ and ‘Amount unit’ are required</v>
      </c>
      <c r="I1234" t="s">
        <v>1391</v>
      </c>
      <c r="J1234" t="b">
        <f>IF(OR(INDEX(OHZ_HAZ_AMOUNT,227,1)&lt;&gt;"",),IF(OR(INDEX(OHZ_HAZ_NETGROSS,227,1)="",INDEX(OHZ_HAZ_UNIT,227,1)="",),FALSE,TRUE),TRUE)</f>
        <v>1</v>
      </c>
      <c r="K1234" t="str">
        <f t="shared" si="39"/>
        <v>Row 227 - For ‘Transport unit’ if ‘Amount’ is given then ‘Gross / Net’ and ‘Amount unit’ are required</v>
      </c>
      <c r="L1234" t="s">
        <v>1391</v>
      </c>
    </row>
    <row r="1235" spans="7:12" x14ac:dyDescent="0.25">
      <c r="G1235" t="b">
        <f>IF(OR(INDEX(IHZ_HAZ_AMOUNT,228,1)&lt;&gt;"",),IF(OR(INDEX(IHZ_HAZ_NETGROSS,228,1)="",INDEX(IHZ_HAZ_UNIT,228,1)="",),FALSE,TRUE),TRUE)</f>
        <v>1</v>
      </c>
      <c r="H1235" t="str">
        <f t="shared" si="38"/>
        <v>Row 228 - For ‘Transport unit’ if ‘Amount’ is given then ‘Gross / Net’ and ‘Amount unit’ are required</v>
      </c>
      <c r="I1235" t="s">
        <v>1391</v>
      </c>
      <c r="J1235" t="b">
        <f>IF(OR(INDEX(OHZ_HAZ_AMOUNT,228,1)&lt;&gt;"",),IF(OR(INDEX(OHZ_HAZ_NETGROSS,228,1)="",INDEX(OHZ_HAZ_UNIT,228,1)="",),FALSE,TRUE),TRUE)</f>
        <v>1</v>
      </c>
      <c r="K1235" t="str">
        <f t="shared" si="39"/>
        <v>Row 228 - For ‘Transport unit’ if ‘Amount’ is given then ‘Gross / Net’ and ‘Amount unit’ are required</v>
      </c>
      <c r="L1235" t="s">
        <v>1391</v>
      </c>
    </row>
    <row r="1236" spans="7:12" x14ac:dyDescent="0.25">
      <c r="G1236" t="b">
        <f>IF(OR(INDEX(IHZ_HAZ_AMOUNT,229,1)&lt;&gt;"",),IF(OR(INDEX(IHZ_HAZ_NETGROSS,229,1)="",INDEX(IHZ_HAZ_UNIT,229,1)="",),FALSE,TRUE),TRUE)</f>
        <v>1</v>
      </c>
      <c r="H1236" t="str">
        <f t="shared" si="38"/>
        <v>Row 229 - For ‘Transport unit’ if ‘Amount’ is given then ‘Gross / Net’ and ‘Amount unit’ are required</v>
      </c>
      <c r="I1236" t="s">
        <v>1391</v>
      </c>
      <c r="J1236" t="b">
        <f>IF(OR(INDEX(OHZ_HAZ_AMOUNT,229,1)&lt;&gt;"",),IF(OR(INDEX(OHZ_HAZ_NETGROSS,229,1)="",INDEX(OHZ_HAZ_UNIT,229,1)="",),FALSE,TRUE),TRUE)</f>
        <v>1</v>
      </c>
      <c r="K1236" t="str">
        <f t="shared" si="39"/>
        <v>Row 229 - For ‘Transport unit’ if ‘Amount’ is given then ‘Gross / Net’ and ‘Amount unit’ are required</v>
      </c>
      <c r="L1236" t="s">
        <v>1391</v>
      </c>
    </row>
    <row r="1237" spans="7:12" x14ac:dyDescent="0.25">
      <c r="G1237" t="b">
        <f>IF(OR(INDEX(IHZ_HAZ_AMOUNT,230,1)&lt;&gt;"",),IF(OR(INDEX(IHZ_HAZ_NETGROSS,230,1)="",INDEX(IHZ_HAZ_UNIT,230,1)="",),FALSE,TRUE),TRUE)</f>
        <v>1</v>
      </c>
      <c r="H1237" t="str">
        <f t="shared" si="38"/>
        <v>Row 230 - For ‘Transport unit’ if ‘Amount’ is given then ‘Gross / Net’ and ‘Amount unit’ are required</v>
      </c>
      <c r="I1237" t="s">
        <v>1391</v>
      </c>
      <c r="J1237" t="b">
        <f>IF(OR(INDEX(OHZ_HAZ_AMOUNT,230,1)&lt;&gt;"",),IF(OR(INDEX(OHZ_HAZ_NETGROSS,230,1)="",INDEX(OHZ_HAZ_UNIT,230,1)="",),FALSE,TRUE),TRUE)</f>
        <v>1</v>
      </c>
      <c r="K1237" t="str">
        <f t="shared" si="39"/>
        <v>Row 230 - For ‘Transport unit’ if ‘Amount’ is given then ‘Gross / Net’ and ‘Amount unit’ are required</v>
      </c>
      <c r="L1237" t="s">
        <v>1391</v>
      </c>
    </row>
    <row r="1238" spans="7:12" x14ac:dyDescent="0.25">
      <c r="G1238" t="b">
        <f>IF(OR(INDEX(IHZ_HAZ_AMOUNT,231,1)&lt;&gt;"",),IF(OR(INDEX(IHZ_HAZ_NETGROSS,231,1)="",INDEX(IHZ_HAZ_UNIT,231,1)="",),FALSE,TRUE),TRUE)</f>
        <v>1</v>
      </c>
      <c r="H1238" t="str">
        <f t="shared" si="38"/>
        <v>Row 231 - For ‘Transport unit’ if ‘Amount’ is given then ‘Gross / Net’ and ‘Amount unit’ are required</v>
      </c>
      <c r="I1238" t="s">
        <v>1391</v>
      </c>
      <c r="J1238" t="b">
        <f>IF(OR(INDEX(OHZ_HAZ_AMOUNT,231,1)&lt;&gt;"",),IF(OR(INDEX(OHZ_HAZ_NETGROSS,231,1)="",INDEX(OHZ_HAZ_UNIT,231,1)="",),FALSE,TRUE),TRUE)</f>
        <v>1</v>
      </c>
      <c r="K1238" t="str">
        <f t="shared" si="39"/>
        <v>Row 231 - For ‘Transport unit’ if ‘Amount’ is given then ‘Gross / Net’ and ‘Amount unit’ are required</v>
      </c>
      <c r="L1238" t="s">
        <v>1391</v>
      </c>
    </row>
    <row r="1239" spans="7:12" x14ac:dyDescent="0.25">
      <c r="G1239" t="b">
        <f>IF(OR(INDEX(IHZ_HAZ_AMOUNT,232,1)&lt;&gt;"",),IF(OR(INDEX(IHZ_HAZ_NETGROSS,232,1)="",INDEX(IHZ_HAZ_UNIT,232,1)="",),FALSE,TRUE),TRUE)</f>
        <v>1</v>
      </c>
      <c r="H1239" t="str">
        <f t="shared" si="38"/>
        <v>Row 232 - For ‘Transport unit’ if ‘Amount’ is given then ‘Gross / Net’ and ‘Amount unit’ are required</v>
      </c>
      <c r="I1239" t="s">
        <v>1391</v>
      </c>
      <c r="J1239" t="b">
        <f>IF(OR(INDEX(OHZ_HAZ_AMOUNT,232,1)&lt;&gt;"",),IF(OR(INDEX(OHZ_HAZ_NETGROSS,232,1)="",INDEX(OHZ_HAZ_UNIT,232,1)="",),FALSE,TRUE),TRUE)</f>
        <v>1</v>
      </c>
      <c r="K1239" t="str">
        <f t="shared" si="39"/>
        <v>Row 232 - For ‘Transport unit’ if ‘Amount’ is given then ‘Gross / Net’ and ‘Amount unit’ are required</v>
      </c>
      <c r="L1239" t="s">
        <v>1391</v>
      </c>
    </row>
    <row r="1240" spans="7:12" x14ac:dyDescent="0.25">
      <c r="G1240" t="b">
        <f>IF(OR(INDEX(IHZ_HAZ_AMOUNT,233,1)&lt;&gt;"",),IF(OR(INDEX(IHZ_HAZ_NETGROSS,233,1)="",INDEX(IHZ_HAZ_UNIT,233,1)="",),FALSE,TRUE),TRUE)</f>
        <v>1</v>
      </c>
      <c r="H1240" t="str">
        <f t="shared" si="38"/>
        <v>Row 233 - For ‘Transport unit’ if ‘Amount’ is given then ‘Gross / Net’ and ‘Amount unit’ are required</v>
      </c>
      <c r="I1240" t="s">
        <v>1391</v>
      </c>
      <c r="J1240" t="b">
        <f>IF(OR(INDEX(OHZ_HAZ_AMOUNT,233,1)&lt;&gt;"",),IF(OR(INDEX(OHZ_HAZ_NETGROSS,233,1)="",INDEX(OHZ_HAZ_UNIT,233,1)="",),FALSE,TRUE),TRUE)</f>
        <v>1</v>
      </c>
      <c r="K1240" t="str">
        <f t="shared" si="39"/>
        <v>Row 233 - For ‘Transport unit’ if ‘Amount’ is given then ‘Gross / Net’ and ‘Amount unit’ are required</v>
      </c>
      <c r="L1240" t="s">
        <v>1391</v>
      </c>
    </row>
    <row r="1241" spans="7:12" x14ac:dyDescent="0.25">
      <c r="G1241" t="b">
        <f>IF(OR(INDEX(IHZ_HAZ_AMOUNT,234,1)&lt;&gt;"",),IF(OR(INDEX(IHZ_HAZ_NETGROSS,234,1)="",INDEX(IHZ_HAZ_UNIT,234,1)="",),FALSE,TRUE),TRUE)</f>
        <v>1</v>
      </c>
      <c r="H1241" t="str">
        <f t="shared" si="38"/>
        <v>Row 234 - For ‘Transport unit’ if ‘Amount’ is given then ‘Gross / Net’ and ‘Amount unit’ are required</v>
      </c>
      <c r="I1241" t="s">
        <v>1391</v>
      </c>
      <c r="J1241" t="b">
        <f>IF(OR(INDEX(OHZ_HAZ_AMOUNT,234,1)&lt;&gt;"",),IF(OR(INDEX(OHZ_HAZ_NETGROSS,234,1)="",INDEX(OHZ_HAZ_UNIT,234,1)="",),FALSE,TRUE),TRUE)</f>
        <v>1</v>
      </c>
      <c r="K1241" t="str">
        <f t="shared" si="39"/>
        <v>Row 234 - For ‘Transport unit’ if ‘Amount’ is given then ‘Gross / Net’ and ‘Amount unit’ are required</v>
      </c>
      <c r="L1241" t="s">
        <v>1391</v>
      </c>
    </row>
    <row r="1242" spans="7:12" x14ac:dyDescent="0.25">
      <c r="G1242" t="b">
        <f>IF(OR(INDEX(IHZ_HAZ_AMOUNT,235,1)&lt;&gt;"",),IF(OR(INDEX(IHZ_HAZ_NETGROSS,235,1)="",INDEX(IHZ_HAZ_UNIT,235,1)="",),FALSE,TRUE),TRUE)</f>
        <v>1</v>
      </c>
      <c r="H1242" t="str">
        <f t="shared" si="38"/>
        <v>Row 235 - For ‘Transport unit’ if ‘Amount’ is given then ‘Gross / Net’ and ‘Amount unit’ are required</v>
      </c>
      <c r="I1242" t="s">
        <v>1391</v>
      </c>
      <c r="J1242" t="b">
        <f>IF(OR(INDEX(OHZ_HAZ_AMOUNT,235,1)&lt;&gt;"",),IF(OR(INDEX(OHZ_HAZ_NETGROSS,235,1)="",INDEX(OHZ_HAZ_UNIT,235,1)="",),FALSE,TRUE),TRUE)</f>
        <v>1</v>
      </c>
      <c r="K1242" t="str">
        <f t="shared" si="39"/>
        <v>Row 235 - For ‘Transport unit’ if ‘Amount’ is given then ‘Gross / Net’ and ‘Amount unit’ are required</v>
      </c>
      <c r="L1242" t="s">
        <v>1391</v>
      </c>
    </row>
    <row r="1243" spans="7:12" x14ac:dyDescent="0.25">
      <c r="G1243" t="b">
        <f>IF(OR(INDEX(IHZ_HAZ_AMOUNT,236,1)&lt;&gt;"",),IF(OR(INDEX(IHZ_HAZ_NETGROSS,236,1)="",INDEX(IHZ_HAZ_UNIT,236,1)="",),FALSE,TRUE),TRUE)</f>
        <v>1</v>
      </c>
      <c r="H1243" t="str">
        <f t="shared" si="38"/>
        <v>Row 236 - For ‘Transport unit’ if ‘Amount’ is given then ‘Gross / Net’ and ‘Amount unit’ are required</v>
      </c>
      <c r="I1243" t="s">
        <v>1391</v>
      </c>
      <c r="J1243" t="b">
        <f>IF(OR(INDEX(OHZ_HAZ_AMOUNT,236,1)&lt;&gt;"",),IF(OR(INDEX(OHZ_HAZ_NETGROSS,236,1)="",INDEX(OHZ_HAZ_UNIT,236,1)="",),FALSE,TRUE),TRUE)</f>
        <v>1</v>
      </c>
      <c r="K1243" t="str">
        <f t="shared" si="39"/>
        <v>Row 236 - For ‘Transport unit’ if ‘Amount’ is given then ‘Gross / Net’ and ‘Amount unit’ are required</v>
      </c>
      <c r="L1243" t="s">
        <v>1391</v>
      </c>
    </row>
    <row r="1244" spans="7:12" x14ac:dyDescent="0.25">
      <c r="G1244" t="b">
        <f>IF(OR(INDEX(IHZ_HAZ_AMOUNT,237,1)&lt;&gt;"",),IF(OR(INDEX(IHZ_HAZ_NETGROSS,237,1)="",INDEX(IHZ_HAZ_UNIT,237,1)="",),FALSE,TRUE),TRUE)</f>
        <v>1</v>
      </c>
      <c r="H1244" t="str">
        <f t="shared" si="38"/>
        <v>Row 237 - For ‘Transport unit’ if ‘Amount’ is given then ‘Gross / Net’ and ‘Amount unit’ are required</v>
      </c>
      <c r="I1244" t="s">
        <v>1391</v>
      </c>
      <c r="J1244" t="b">
        <f>IF(OR(INDEX(OHZ_HAZ_AMOUNT,237,1)&lt;&gt;"",),IF(OR(INDEX(OHZ_HAZ_NETGROSS,237,1)="",INDEX(OHZ_HAZ_UNIT,237,1)="",),FALSE,TRUE),TRUE)</f>
        <v>1</v>
      </c>
      <c r="K1244" t="str">
        <f t="shared" si="39"/>
        <v>Row 237 - For ‘Transport unit’ if ‘Amount’ is given then ‘Gross / Net’ and ‘Amount unit’ are required</v>
      </c>
      <c r="L1244" t="s">
        <v>1391</v>
      </c>
    </row>
    <row r="1245" spans="7:12" x14ac:dyDescent="0.25">
      <c r="G1245" t="b">
        <f>IF(OR(INDEX(IHZ_HAZ_AMOUNT,238,1)&lt;&gt;"",),IF(OR(INDEX(IHZ_HAZ_NETGROSS,238,1)="",INDEX(IHZ_HAZ_UNIT,238,1)="",),FALSE,TRUE),TRUE)</f>
        <v>1</v>
      </c>
      <c r="H1245" t="str">
        <f t="shared" si="38"/>
        <v>Row 238 - For ‘Transport unit’ if ‘Amount’ is given then ‘Gross / Net’ and ‘Amount unit’ are required</v>
      </c>
      <c r="I1245" t="s">
        <v>1391</v>
      </c>
      <c r="J1245" t="b">
        <f>IF(OR(INDEX(OHZ_HAZ_AMOUNT,238,1)&lt;&gt;"",),IF(OR(INDEX(OHZ_HAZ_NETGROSS,238,1)="",INDEX(OHZ_HAZ_UNIT,238,1)="",),FALSE,TRUE),TRUE)</f>
        <v>1</v>
      </c>
      <c r="K1245" t="str">
        <f t="shared" si="39"/>
        <v>Row 238 - For ‘Transport unit’ if ‘Amount’ is given then ‘Gross / Net’ and ‘Amount unit’ are required</v>
      </c>
      <c r="L1245" t="s">
        <v>1391</v>
      </c>
    </row>
    <row r="1246" spans="7:12" x14ac:dyDescent="0.25">
      <c r="G1246" t="b">
        <f>IF(OR(INDEX(IHZ_HAZ_AMOUNT,239,1)&lt;&gt;"",),IF(OR(INDEX(IHZ_HAZ_NETGROSS,239,1)="",INDEX(IHZ_HAZ_UNIT,239,1)="",),FALSE,TRUE),TRUE)</f>
        <v>1</v>
      </c>
      <c r="H1246" t="str">
        <f t="shared" si="38"/>
        <v>Row 239 - For ‘Transport unit’ if ‘Amount’ is given then ‘Gross / Net’ and ‘Amount unit’ are required</v>
      </c>
      <c r="I1246" t="s">
        <v>1391</v>
      </c>
      <c r="J1246" t="b">
        <f>IF(OR(INDEX(OHZ_HAZ_AMOUNT,239,1)&lt;&gt;"",),IF(OR(INDEX(OHZ_HAZ_NETGROSS,239,1)="",INDEX(OHZ_HAZ_UNIT,239,1)="",),FALSE,TRUE),TRUE)</f>
        <v>1</v>
      </c>
      <c r="K1246" t="str">
        <f t="shared" si="39"/>
        <v>Row 239 - For ‘Transport unit’ if ‘Amount’ is given then ‘Gross / Net’ and ‘Amount unit’ are required</v>
      </c>
      <c r="L1246" t="s">
        <v>1391</v>
      </c>
    </row>
    <row r="1247" spans="7:12" x14ac:dyDescent="0.25">
      <c r="G1247" t="b">
        <f>IF(OR(INDEX(IHZ_HAZ_AMOUNT,240,1)&lt;&gt;"",),IF(OR(INDEX(IHZ_HAZ_NETGROSS,240,1)="",INDEX(IHZ_HAZ_UNIT,240,1)="",),FALSE,TRUE),TRUE)</f>
        <v>1</v>
      </c>
      <c r="H1247" t="str">
        <f t="shared" si="38"/>
        <v>Row 240 - For ‘Transport unit’ if ‘Amount’ is given then ‘Gross / Net’ and ‘Amount unit’ are required</v>
      </c>
      <c r="I1247" t="s">
        <v>1391</v>
      </c>
      <c r="J1247" t="b">
        <f>IF(OR(INDEX(OHZ_HAZ_AMOUNT,240,1)&lt;&gt;"",),IF(OR(INDEX(OHZ_HAZ_NETGROSS,240,1)="",INDEX(OHZ_HAZ_UNIT,240,1)="",),FALSE,TRUE),TRUE)</f>
        <v>1</v>
      </c>
      <c r="K1247" t="str">
        <f t="shared" si="39"/>
        <v>Row 240 - For ‘Transport unit’ if ‘Amount’ is given then ‘Gross / Net’ and ‘Amount unit’ are required</v>
      </c>
      <c r="L1247" t="s">
        <v>1391</v>
      </c>
    </row>
    <row r="1248" spans="7:12" x14ac:dyDescent="0.25">
      <c r="G1248" t="b">
        <f>IF(OR(INDEX(IHZ_HAZ_AMOUNT,241,1)&lt;&gt;"",),IF(OR(INDEX(IHZ_HAZ_NETGROSS,241,1)="",INDEX(IHZ_HAZ_UNIT,241,1)="",),FALSE,TRUE),TRUE)</f>
        <v>1</v>
      </c>
      <c r="H1248" t="str">
        <f t="shared" si="38"/>
        <v>Row 241 - For ‘Transport unit’ if ‘Amount’ is given then ‘Gross / Net’ and ‘Amount unit’ are required</v>
      </c>
      <c r="I1248" t="s">
        <v>1391</v>
      </c>
      <c r="J1248" t="b">
        <f>IF(OR(INDEX(OHZ_HAZ_AMOUNT,241,1)&lt;&gt;"",),IF(OR(INDEX(OHZ_HAZ_NETGROSS,241,1)="",INDEX(OHZ_HAZ_UNIT,241,1)="",),FALSE,TRUE),TRUE)</f>
        <v>1</v>
      </c>
      <c r="K1248" t="str">
        <f t="shared" si="39"/>
        <v>Row 241 - For ‘Transport unit’ if ‘Amount’ is given then ‘Gross / Net’ and ‘Amount unit’ are required</v>
      </c>
      <c r="L1248" t="s">
        <v>1391</v>
      </c>
    </row>
    <row r="1249" spans="7:12" x14ac:dyDescent="0.25">
      <c r="G1249" t="b">
        <f>IF(OR(INDEX(IHZ_HAZ_AMOUNT,242,1)&lt;&gt;"",),IF(OR(INDEX(IHZ_HAZ_NETGROSS,242,1)="",INDEX(IHZ_HAZ_UNIT,242,1)="",),FALSE,TRUE),TRUE)</f>
        <v>1</v>
      </c>
      <c r="H1249" t="str">
        <f t="shared" si="38"/>
        <v>Row 242 - For ‘Transport unit’ if ‘Amount’ is given then ‘Gross / Net’ and ‘Amount unit’ are required</v>
      </c>
      <c r="I1249" t="s">
        <v>1391</v>
      </c>
      <c r="J1249" t="b">
        <f>IF(OR(INDEX(OHZ_HAZ_AMOUNT,242,1)&lt;&gt;"",),IF(OR(INDEX(OHZ_HAZ_NETGROSS,242,1)="",INDEX(OHZ_HAZ_UNIT,242,1)="",),FALSE,TRUE),TRUE)</f>
        <v>1</v>
      </c>
      <c r="K1249" t="str">
        <f t="shared" si="39"/>
        <v>Row 242 - For ‘Transport unit’ if ‘Amount’ is given then ‘Gross / Net’ and ‘Amount unit’ are required</v>
      </c>
      <c r="L1249" t="s">
        <v>1391</v>
      </c>
    </row>
    <row r="1250" spans="7:12" x14ac:dyDescent="0.25">
      <c r="G1250" t="b">
        <f>IF(OR(INDEX(IHZ_HAZ_AMOUNT,243,1)&lt;&gt;"",),IF(OR(INDEX(IHZ_HAZ_NETGROSS,243,1)="",INDEX(IHZ_HAZ_UNIT,243,1)="",),FALSE,TRUE),TRUE)</f>
        <v>1</v>
      </c>
      <c r="H1250" t="str">
        <f t="shared" si="38"/>
        <v>Row 243 - For ‘Transport unit’ if ‘Amount’ is given then ‘Gross / Net’ and ‘Amount unit’ are required</v>
      </c>
      <c r="I1250" t="s">
        <v>1391</v>
      </c>
      <c r="J1250" t="b">
        <f>IF(OR(INDEX(OHZ_HAZ_AMOUNT,243,1)&lt;&gt;"",),IF(OR(INDEX(OHZ_HAZ_NETGROSS,243,1)="",INDEX(OHZ_HAZ_UNIT,243,1)="",),FALSE,TRUE),TRUE)</f>
        <v>1</v>
      </c>
      <c r="K1250" t="str">
        <f t="shared" si="39"/>
        <v>Row 243 - For ‘Transport unit’ if ‘Amount’ is given then ‘Gross / Net’ and ‘Amount unit’ are required</v>
      </c>
      <c r="L1250" t="s">
        <v>1391</v>
      </c>
    </row>
    <row r="1251" spans="7:12" x14ac:dyDescent="0.25">
      <c r="G1251" t="b">
        <f>IF(OR(INDEX(IHZ_HAZ_AMOUNT,244,1)&lt;&gt;"",),IF(OR(INDEX(IHZ_HAZ_NETGROSS,244,1)="",INDEX(IHZ_HAZ_UNIT,244,1)="",),FALSE,TRUE),TRUE)</f>
        <v>1</v>
      </c>
      <c r="H1251" t="str">
        <f t="shared" si="38"/>
        <v>Row 244 - For ‘Transport unit’ if ‘Amount’ is given then ‘Gross / Net’ and ‘Amount unit’ are required</v>
      </c>
      <c r="I1251" t="s">
        <v>1391</v>
      </c>
      <c r="J1251" t="b">
        <f>IF(OR(INDEX(OHZ_HAZ_AMOUNT,244,1)&lt;&gt;"",),IF(OR(INDEX(OHZ_HAZ_NETGROSS,244,1)="",INDEX(OHZ_HAZ_UNIT,244,1)="",),FALSE,TRUE),TRUE)</f>
        <v>1</v>
      </c>
      <c r="K1251" t="str">
        <f t="shared" si="39"/>
        <v>Row 244 - For ‘Transport unit’ if ‘Amount’ is given then ‘Gross / Net’ and ‘Amount unit’ are required</v>
      </c>
      <c r="L1251" t="s">
        <v>1391</v>
      </c>
    </row>
    <row r="1252" spans="7:12" x14ac:dyDescent="0.25">
      <c r="G1252" t="b">
        <f>IF(OR(INDEX(IHZ_HAZ_AMOUNT,245,1)&lt;&gt;"",),IF(OR(INDEX(IHZ_HAZ_NETGROSS,245,1)="",INDEX(IHZ_HAZ_UNIT,245,1)="",),FALSE,TRUE),TRUE)</f>
        <v>1</v>
      </c>
      <c r="H1252" t="str">
        <f t="shared" si="38"/>
        <v>Row 245 - For ‘Transport unit’ if ‘Amount’ is given then ‘Gross / Net’ and ‘Amount unit’ are required</v>
      </c>
      <c r="I1252" t="s">
        <v>1391</v>
      </c>
      <c r="J1252" t="b">
        <f>IF(OR(INDEX(OHZ_HAZ_AMOUNT,245,1)&lt;&gt;"",),IF(OR(INDEX(OHZ_HAZ_NETGROSS,245,1)="",INDEX(OHZ_HAZ_UNIT,245,1)="",),FALSE,TRUE),TRUE)</f>
        <v>1</v>
      </c>
      <c r="K1252" t="str">
        <f t="shared" si="39"/>
        <v>Row 245 - For ‘Transport unit’ if ‘Amount’ is given then ‘Gross / Net’ and ‘Amount unit’ are required</v>
      </c>
      <c r="L1252" t="s">
        <v>1391</v>
      </c>
    </row>
    <row r="1253" spans="7:12" x14ac:dyDescent="0.25">
      <c r="G1253" t="b">
        <f>IF(OR(INDEX(IHZ_HAZ_AMOUNT,246,1)&lt;&gt;"",),IF(OR(INDEX(IHZ_HAZ_NETGROSS,246,1)="",INDEX(IHZ_HAZ_UNIT,246,1)="",),FALSE,TRUE),TRUE)</f>
        <v>1</v>
      </c>
      <c r="H1253" t="str">
        <f t="shared" si="38"/>
        <v>Row 246 - For ‘Transport unit’ if ‘Amount’ is given then ‘Gross / Net’ and ‘Amount unit’ are required</v>
      </c>
      <c r="I1253" t="s">
        <v>1391</v>
      </c>
      <c r="J1253" t="b">
        <f>IF(OR(INDEX(OHZ_HAZ_AMOUNT,246,1)&lt;&gt;"",),IF(OR(INDEX(OHZ_HAZ_NETGROSS,246,1)="",INDEX(OHZ_HAZ_UNIT,246,1)="",),FALSE,TRUE),TRUE)</f>
        <v>1</v>
      </c>
      <c r="K1253" t="str">
        <f t="shared" si="39"/>
        <v>Row 246 - For ‘Transport unit’ if ‘Amount’ is given then ‘Gross / Net’ and ‘Amount unit’ are required</v>
      </c>
      <c r="L1253" t="s">
        <v>1391</v>
      </c>
    </row>
    <row r="1254" spans="7:12" x14ac:dyDescent="0.25">
      <c r="G1254" t="b">
        <f>IF(OR(INDEX(IHZ_HAZ_AMOUNT,247,1)&lt;&gt;"",),IF(OR(INDEX(IHZ_HAZ_NETGROSS,247,1)="",INDEX(IHZ_HAZ_UNIT,247,1)="",),FALSE,TRUE),TRUE)</f>
        <v>1</v>
      </c>
      <c r="H1254" t="str">
        <f t="shared" si="38"/>
        <v>Row 247 - For ‘Transport unit’ if ‘Amount’ is given then ‘Gross / Net’ and ‘Amount unit’ are required</v>
      </c>
      <c r="I1254" t="s">
        <v>1391</v>
      </c>
      <c r="J1254" t="b">
        <f>IF(OR(INDEX(OHZ_HAZ_AMOUNT,247,1)&lt;&gt;"",),IF(OR(INDEX(OHZ_HAZ_NETGROSS,247,1)="",INDEX(OHZ_HAZ_UNIT,247,1)="",),FALSE,TRUE),TRUE)</f>
        <v>1</v>
      </c>
      <c r="K1254" t="str">
        <f t="shared" si="39"/>
        <v>Row 247 - For ‘Transport unit’ if ‘Amount’ is given then ‘Gross / Net’ and ‘Amount unit’ are required</v>
      </c>
      <c r="L1254" t="s">
        <v>1391</v>
      </c>
    </row>
    <row r="1255" spans="7:12" x14ac:dyDescent="0.25">
      <c r="G1255" t="b">
        <f>IF(OR(INDEX(IHZ_HAZ_AMOUNT,248,1)&lt;&gt;"",),IF(OR(INDEX(IHZ_HAZ_NETGROSS,248,1)="",INDEX(IHZ_HAZ_UNIT,248,1)="",),FALSE,TRUE),TRUE)</f>
        <v>1</v>
      </c>
      <c r="H1255" t="str">
        <f t="shared" si="38"/>
        <v>Row 248 - For ‘Transport unit’ if ‘Amount’ is given then ‘Gross / Net’ and ‘Amount unit’ are required</v>
      </c>
      <c r="I1255" t="s">
        <v>1391</v>
      </c>
      <c r="J1255" t="b">
        <f>IF(OR(INDEX(OHZ_HAZ_AMOUNT,248,1)&lt;&gt;"",),IF(OR(INDEX(OHZ_HAZ_NETGROSS,248,1)="",INDEX(OHZ_HAZ_UNIT,248,1)="",),FALSE,TRUE),TRUE)</f>
        <v>1</v>
      </c>
      <c r="K1255" t="str">
        <f t="shared" si="39"/>
        <v>Row 248 - For ‘Transport unit’ if ‘Amount’ is given then ‘Gross / Net’ and ‘Amount unit’ are required</v>
      </c>
      <c r="L1255" t="s">
        <v>1391</v>
      </c>
    </row>
    <row r="1256" spans="7:12" x14ac:dyDescent="0.25">
      <c r="G1256" t="b">
        <f>IF(OR(INDEX(IHZ_HAZ_AMOUNT,249,1)&lt;&gt;"",),IF(OR(INDEX(IHZ_HAZ_NETGROSS,249,1)="",INDEX(IHZ_HAZ_UNIT,249,1)="",),FALSE,TRUE),TRUE)</f>
        <v>1</v>
      </c>
      <c r="H1256" t="str">
        <f t="shared" si="38"/>
        <v>Row 249 - For ‘Transport unit’ if ‘Amount’ is given then ‘Gross / Net’ and ‘Amount unit’ are required</v>
      </c>
      <c r="I1256" t="s">
        <v>1391</v>
      </c>
      <c r="J1256" t="b">
        <f>IF(OR(INDEX(OHZ_HAZ_AMOUNT,249,1)&lt;&gt;"",),IF(OR(INDEX(OHZ_HAZ_NETGROSS,249,1)="",INDEX(OHZ_HAZ_UNIT,249,1)="",),FALSE,TRUE),TRUE)</f>
        <v>1</v>
      </c>
      <c r="K1256" t="str">
        <f t="shared" si="39"/>
        <v>Row 249 - For ‘Transport unit’ if ‘Amount’ is given then ‘Gross / Net’ and ‘Amount unit’ are required</v>
      </c>
      <c r="L1256" t="s">
        <v>1391</v>
      </c>
    </row>
    <row r="1257" spans="7:12" x14ac:dyDescent="0.25">
      <c r="G1257" t="b">
        <f>IF(OR(INDEX(IHZ_HAZ_AMOUNT,250,1)&lt;&gt;"",),IF(OR(INDEX(IHZ_HAZ_NETGROSS,250,1)="",INDEX(IHZ_HAZ_UNIT,250,1)="",),FALSE,TRUE),TRUE)</f>
        <v>1</v>
      </c>
      <c r="H1257" t="str">
        <f t="shared" si="38"/>
        <v>Row 250 - For ‘Transport unit’ if ‘Amount’ is given then ‘Gross / Net’ and ‘Amount unit’ are required</v>
      </c>
      <c r="I1257" t="s">
        <v>1391</v>
      </c>
      <c r="J1257" t="b">
        <f>IF(OR(INDEX(OHZ_HAZ_AMOUNT,250,1)&lt;&gt;"",),IF(OR(INDEX(OHZ_HAZ_NETGROSS,250,1)="",INDEX(OHZ_HAZ_UNIT,250,1)="",),FALSE,TRUE),TRUE)</f>
        <v>1</v>
      </c>
      <c r="K1257" t="str">
        <f t="shared" si="39"/>
        <v>Row 250 - For ‘Transport unit’ if ‘Amount’ is given then ‘Gross / Net’ and ‘Amount unit’ are required</v>
      </c>
      <c r="L1257" t="s">
        <v>1391</v>
      </c>
    </row>
    <row r="1258" spans="7:12" x14ac:dyDescent="0.25">
      <c r="G1258" t="b">
        <f>IF(OR(INDEX(IHZ_HAZ_DGCLASSIFI,1,1)="IMDG",),AND(INDEX(IHZ_HAZ_IMOHAZARDC,1,1)&lt;&gt;"",INDEX(IHZ_HAZ_UNNUMBER,1,1)&lt;&gt;""),TRUE)</f>
        <v>1</v>
      </c>
      <c r="H1258" t="str">
        <f>T1&amp;$V$6</f>
        <v>Row 1 - If ‘DG classification’ is ‘IMDG’ the ‘IMO Hazard Class’ and ‘UN Number’ is mandatory</v>
      </c>
      <c r="I1258" t="s">
        <v>1391</v>
      </c>
      <c r="J1258" t="b">
        <f>IF(OR(INDEX(OHZ_HAZ_DGCLASSIFI,1,1)="IMDG",),AND(INDEX(OHZ_HAZ_IMOHAZARDC,1,1)&lt;&gt;"",INDEX(OHZ_HAZ_UNNUMBER,1,1)&lt;&gt;""),TRUE)</f>
        <v>1</v>
      </c>
      <c r="K1258" t="str">
        <f>T1&amp;$V$6</f>
        <v>Row 1 - If ‘DG classification’ is ‘IMDG’ the ‘IMO Hazard Class’ and ‘UN Number’ is mandatory</v>
      </c>
      <c r="L1258" t="s">
        <v>1391</v>
      </c>
    </row>
    <row r="1259" spans="7:12" x14ac:dyDescent="0.25">
      <c r="G1259" t="b">
        <f>IF(OR(INDEX(IHZ_HAZ_DGCLASSIFI,2,1)="IMDG",),AND(INDEX(IHZ_HAZ_IMOHAZARDC,2,1)&lt;&gt;"",INDEX(IHZ_HAZ_UNNUMBER,2,1)&lt;&gt;""),TRUE)</f>
        <v>1</v>
      </c>
      <c r="H1259" t="str">
        <f t="shared" ref="H1259:H1322" si="40">T2&amp;$V$6</f>
        <v>Row 2 - If ‘DG classification’ is ‘IMDG’ the ‘IMO Hazard Class’ and ‘UN Number’ is mandatory</v>
      </c>
      <c r="I1259" t="s">
        <v>1391</v>
      </c>
      <c r="J1259" t="b">
        <f>IF(OR(INDEX(OHZ_HAZ_DGCLASSIFI,2,1)="IMDG",),AND(INDEX(OHZ_HAZ_IMOHAZARDC,2,1)&lt;&gt;"",INDEX(OHZ_HAZ_UNNUMBER,2,1)&lt;&gt;""),TRUE)</f>
        <v>1</v>
      </c>
      <c r="K1259" t="str">
        <f t="shared" ref="K1259:K1322" si="41">T2&amp;$V$6</f>
        <v>Row 2 - If ‘DG classification’ is ‘IMDG’ the ‘IMO Hazard Class’ and ‘UN Number’ is mandatory</v>
      </c>
      <c r="L1259" t="s">
        <v>1391</v>
      </c>
    </row>
    <row r="1260" spans="7:12" x14ac:dyDescent="0.25">
      <c r="G1260" t="b">
        <f>IF(OR(INDEX(IHZ_HAZ_DGCLASSIFI,3,1)="IMDG",),AND(INDEX(IHZ_HAZ_IMOHAZARDC,3,1)&lt;&gt;"",INDEX(IHZ_HAZ_UNNUMBER,3,1)&lt;&gt;""),TRUE)</f>
        <v>1</v>
      </c>
      <c r="H1260" t="str">
        <f t="shared" si="40"/>
        <v>Row 3 - If ‘DG classification’ is ‘IMDG’ the ‘IMO Hazard Class’ and ‘UN Number’ is mandatory</v>
      </c>
      <c r="I1260" t="s">
        <v>1391</v>
      </c>
      <c r="J1260" t="b">
        <f>IF(OR(INDEX(OHZ_HAZ_DGCLASSIFI,3,1)="IMDG",),AND(INDEX(OHZ_HAZ_IMOHAZARDC,3,1)&lt;&gt;"",INDEX(OHZ_HAZ_UNNUMBER,3,1)&lt;&gt;""),TRUE)</f>
        <v>1</v>
      </c>
      <c r="K1260" t="str">
        <f t="shared" si="41"/>
        <v>Row 3 - If ‘DG classification’ is ‘IMDG’ the ‘IMO Hazard Class’ and ‘UN Number’ is mandatory</v>
      </c>
      <c r="L1260" t="s">
        <v>1391</v>
      </c>
    </row>
    <row r="1261" spans="7:12" x14ac:dyDescent="0.25">
      <c r="G1261" t="b">
        <f>IF(OR(INDEX(IHZ_HAZ_DGCLASSIFI,4,1)="IMDG",),AND(INDEX(IHZ_HAZ_IMOHAZARDC,4,1)&lt;&gt;"",INDEX(IHZ_HAZ_UNNUMBER,4,1)&lt;&gt;""),TRUE)</f>
        <v>1</v>
      </c>
      <c r="H1261" t="str">
        <f t="shared" si="40"/>
        <v>Row 4 - If ‘DG classification’ is ‘IMDG’ the ‘IMO Hazard Class’ and ‘UN Number’ is mandatory</v>
      </c>
      <c r="I1261" t="s">
        <v>1391</v>
      </c>
      <c r="J1261" t="b">
        <f>IF(OR(INDEX(OHZ_HAZ_DGCLASSIFI,4,1)="IMDG",),AND(INDEX(OHZ_HAZ_IMOHAZARDC,4,1)&lt;&gt;"",INDEX(OHZ_HAZ_UNNUMBER,4,1)&lt;&gt;""),TRUE)</f>
        <v>1</v>
      </c>
      <c r="K1261" t="str">
        <f t="shared" si="41"/>
        <v>Row 4 - If ‘DG classification’ is ‘IMDG’ the ‘IMO Hazard Class’ and ‘UN Number’ is mandatory</v>
      </c>
      <c r="L1261" t="s">
        <v>1391</v>
      </c>
    </row>
    <row r="1262" spans="7:12" x14ac:dyDescent="0.25">
      <c r="G1262" t="b">
        <f>IF(OR(INDEX(IHZ_HAZ_DGCLASSIFI,5,1)="IMDG",),AND(INDEX(IHZ_HAZ_IMOHAZARDC,5,1)&lt;&gt;"",INDEX(IHZ_HAZ_UNNUMBER,5,1)&lt;&gt;""),TRUE)</f>
        <v>1</v>
      </c>
      <c r="H1262" t="str">
        <f t="shared" si="40"/>
        <v>Row 5 - If ‘DG classification’ is ‘IMDG’ the ‘IMO Hazard Class’ and ‘UN Number’ is mandatory</v>
      </c>
      <c r="I1262" t="s">
        <v>1391</v>
      </c>
      <c r="J1262" t="b">
        <f>IF(OR(INDEX(OHZ_HAZ_DGCLASSIFI,5,1)="IMDG",),AND(INDEX(OHZ_HAZ_IMOHAZARDC,5,1)&lt;&gt;"",INDEX(OHZ_HAZ_UNNUMBER,5,1)&lt;&gt;""),TRUE)</f>
        <v>1</v>
      </c>
      <c r="K1262" t="str">
        <f t="shared" si="41"/>
        <v>Row 5 - If ‘DG classification’ is ‘IMDG’ the ‘IMO Hazard Class’ and ‘UN Number’ is mandatory</v>
      </c>
      <c r="L1262" t="s">
        <v>1391</v>
      </c>
    </row>
    <row r="1263" spans="7:12" x14ac:dyDescent="0.25">
      <c r="G1263" t="b">
        <f>IF(OR(INDEX(IHZ_HAZ_DGCLASSIFI,6,1)="IMDG",),AND(INDEX(IHZ_HAZ_IMOHAZARDC,6,1)&lt;&gt;"",INDEX(IHZ_HAZ_UNNUMBER,6,1)&lt;&gt;""),TRUE)</f>
        <v>1</v>
      </c>
      <c r="H1263" t="str">
        <f t="shared" si="40"/>
        <v>Row 6 - If ‘DG classification’ is ‘IMDG’ the ‘IMO Hazard Class’ and ‘UN Number’ is mandatory</v>
      </c>
      <c r="I1263" t="s">
        <v>1391</v>
      </c>
      <c r="J1263" t="b">
        <f>IF(OR(INDEX(OHZ_HAZ_DGCLASSIFI,6,1)="IMDG",),AND(INDEX(OHZ_HAZ_IMOHAZARDC,6,1)&lt;&gt;"",INDEX(OHZ_HAZ_UNNUMBER,6,1)&lt;&gt;""),TRUE)</f>
        <v>1</v>
      </c>
      <c r="K1263" t="str">
        <f t="shared" si="41"/>
        <v>Row 6 - If ‘DG classification’ is ‘IMDG’ the ‘IMO Hazard Class’ and ‘UN Number’ is mandatory</v>
      </c>
      <c r="L1263" t="s">
        <v>1391</v>
      </c>
    </row>
    <row r="1264" spans="7:12" x14ac:dyDescent="0.25">
      <c r="G1264" t="b">
        <f>IF(OR(INDEX(IHZ_HAZ_DGCLASSIFI,7,1)="IMDG",),AND(INDEX(IHZ_HAZ_IMOHAZARDC,7,1)&lt;&gt;"",INDEX(IHZ_HAZ_UNNUMBER,7,1)&lt;&gt;""),TRUE)</f>
        <v>1</v>
      </c>
      <c r="H1264" t="str">
        <f t="shared" si="40"/>
        <v>Row 7 - If ‘DG classification’ is ‘IMDG’ the ‘IMO Hazard Class’ and ‘UN Number’ is mandatory</v>
      </c>
      <c r="I1264" t="s">
        <v>1391</v>
      </c>
      <c r="J1264" t="b">
        <f>IF(OR(INDEX(OHZ_HAZ_DGCLASSIFI,7,1)="IMDG",),AND(INDEX(OHZ_HAZ_IMOHAZARDC,7,1)&lt;&gt;"",INDEX(OHZ_HAZ_UNNUMBER,7,1)&lt;&gt;""),TRUE)</f>
        <v>1</v>
      </c>
      <c r="K1264" t="str">
        <f t="shared" si="41"/>
        <v>Row 7 - If ‘DG classification’ is ‘IMDG’ the ‘IMO Hazard Class’ and ‘UN Number’ is mandatory</v>
      </c>
      <c r="L1264" t="s">
        <v>1391</v>
      </c>
    </row>
    <row r="1265" spans="7:12" x14ac:dyDescent="0.25">
      <c r="G1265" t="b">
        <f>IF(OR(INDEX(IHZ_HAZ_DGCLASSIFI,8,1)="IMDG",),AND(INDEX(IHZ_HAZ_IMOHAZARDC,8,1)&lt;&gt;"",INDEX(IHZ_HAZ_UNNUMBER,8,1)&lt;&gt;""),TRUE)</f>
        <v>1</v>
      </c>
      <c r="H1265" t="str">
        <f t="shared" si="40"/>
        <v>Row 8 - If ‘DG classification’ is ‘IMDG’ the ‘IMO Hazard Class’ and ‘UN Number’ is mandatory</v>
      </c>
      <c r="I1265" t="s">
        <v>1391</v>
      </c>
      <c r="J1265" t="b">
        <f>IF(OR(INDEX(OHZ_HAZ_DGCLASSIFI,8,1)="IMDG",),AND(INDEX(OHZ_HAZ_IMOHAZARDC,8,1)&lt;&gt;"",INDEX(OHZ_HAZ_UNNUMBER,8,1)&lt;&gt;""),TRUE)</f>
        <v>1</v>
      </c>
      <c r="K1265" t="str">
        <f t="shared" si="41"/>
        <v>Row 8 - If ‘DG classification’ is ‘IMDG’ the ‘IMO Hazard Class’ and ‘UN Number’ is mandatory</v>
      </c>
      <c r="L1265" t="s">
        <v>1391</v>
      </c>
    </row>
    <row r="1266" spans="7:12" x14ac:dyDescent="0.25">
      <c r="G1266" t="b">
        <f>IF(OR(INDEX(IHZ_HAZ_DGCLASSIFI,9,1)="IMDG",),AND(INDEX(IHZ_HAZ_IMOHAZARDC,9,1)&lt;&gt;"",INDEX(IHZ_HAZ_UNNUMBER,9,1)&lt;&gt;""),TRUE)</f>
        <v>1</v>
      </c>
      <c r="H1266" t="str">
        <f t="shared" si="40"/>
        <v>Row 9 - If ‘DG classification’ is ‘IMDG’ the ‘IMO Hazard Class’ and ‘UN Number’ is mandatory</v>
      </c>
      <c r="I1266" t="s">
        <v>1391</v>
      </c>
      <c r="J1266" t="b">
        <f>IF(OR(INDEX(OHZ_HAZ_DGCLASSIFI,9,1)="IMDG",),AND(INDEX(OHZ_HAZ_IMOHAZARDC,9,1)&lt;&gt;"",INDEX(OHZ_HAZ_UNNUMBER,9,1)&lt;&gt;""),TRUE)</f>
        <v>1</v>
      </c>
      <c r="K1266" t="str">
        <f t="shared" si="41"/>
        <v>Row 9 - If ‘DG classification’ is ‘IMDG’ the ‘IMO Hazard Class’ and ‘UN Number’ is mandatory</v>
      </c>
      <c r="L1266" t="s">
        <v>1391</v>
      </c>
    </row>
    <row r="1267" spans="7:12" x14ac:dyDescent="0.25">
      <c r="G1267" t="b">
        <f>IF(OR(INDEX(IHZ_HAZ_DGCLASSIFI,10,1)="IMDG",),AND(INDEX(IHZ_HAZ_IMOHAZARDC,10,1)&lt;&gt;"",INDEX(IHZ_HAZ_UNNUMBER,10,1)&lt;&gt;""),TRUE)</f>
        <v>1</v>
      </c>
      <c r="H1267" t="str">
        <f t="shared" si="40"/>
        <v>Row 10 - If ‘DG classification’ is ‘IMDG’ the ‘IMO Hazard Class’ and ‘UN Number’ is mandatory</v>
      </c>
      <c r="I1267" t="s">
        <v>1391</v>
      </c>
      <c r="J1267" t="b">
        <f>IF(OR(INDEX(OHZ_HAZ_DGCLASSIFI,10,1)="IMDG",),AND(INDEX(OHZ_HAZ_IMOHAZARDC,10,1)&lt;&gt;"",INDEX(OHZ_HAZ_UNNUMBER,10,1)&lt;&gt;""),TRUE)</f>
        <v>1</v>
      </c>
      <c r="K1267" t="str">
        <f t="shared" si="41"/>
        <v>Row 10 - If ‘DG classification’ is ‘IMDG’ the ‘IMO Hazard Class’ and ‘UN Number’ is mandatory</v>
      </c>
      <c r="L1267" t="s">
        <v>1391</v>
      </c>
    </row>
    <row r="1268" spans="7:12" x14ac:dyDescent="0.25">
      <c r="G1268" t="b">
        <f>IF(OR(INDEX(IHZ_HAZ_DGCLASSIFI,11,1)="IMDG",),AND(INDEX(IHZ_HAZ_IMOHAZARDC,11,1)&lt;&gt;"",INDEX(IHZ_HAZ_UNNUMBER,11,1)&lt;&gt;""),TRUE)</f>
        <v>1</v>
      </c>
      <c r="H1268" t="str">
        <f t="shared" si="40"/>
        <v>Row 11 - If ‘DG classification’ is ‘IMDG’ the ‘IMO Hazard Class’ and ‘UN Number’ is mandatory</v>
      </c>
      <c r="I1268" t="s">
        <v>1391</v>
      </c>
      <c r="J1268" t="b">
        <f>IF(OR(INDEX(OHZ_HAZ_DGCLASSIFI,11,1)="IMDG",),AND(INDEX(OHZ_HAZ_IMOHAZARDC,11,1)&lt;&gt;"",INDEX(OHZ_HAZ_UNNUMBER,11,1)&lt;&gt;""),TRUE)</f>
        <v>1</v>
      </c>
      <c r="K1268" t="str">
        <f t="shared" si="41"/>
        <v>Row 11 - If ‘DG classification’ is ‘IMDG’ the ‘IMO Hazard Class’ and ‘UN Number’ is mandatory</v>
      </c>
      <c r="L1268" t="s">
        <v>1391</v>
      </c>
    </row>
    <row r="1269" spans="7:12" x14ac:dyDescent="0.25">
      <c r="G1269" t="b">
        <f>IF(OR(INDEX(IHZ_HAZ_DGCLASSIFI,12,1)="IMDG",),AND(INDEX(IHZ_HAZ_IMOHAZARDC,12,1)&lt;&gt;"",INDEX(IHZ_HAZ_UNNUMBER,12,1)&lt;&gt;""),TRUE)</f>
        <v>1</v>
      </c>
      <c r="H1269" t="str">
        <f t="shared" si="40"/>
        <v>Row 12 - If ‘DG classification’ is ‘IMDG’ the ‘IMO Hazard Class’ and ‘UN Number’ is mandatory</v>
      </c>
      <c r="I1269" t="s">
        <v>1391</v>
      </c>
      <c r="J1269" t="b">
        <f>IF(OR(INDEX(OHZ_HAZ_DGCLASSIFI,12,1)="IMDG",),AND(INDEX(OHZ_HAZ_IMOHAZARDC,12,1)&lt;&gt;"",INDEX(OHZ_HAZ_UNNUMBER,12,1)&lt;&gt;""),TRUE)</f>
        <v>1</v>
      </c>
      <c r="K1269" t="str">
        <f t="shared" si="41"/>
        <v>Row 12 - If ‘DG classification’ is ‘IMDG’ the ‘IMO Hazard Class’ and ‘UN Number’ is mandatory</v>
      </c>
      <c r="L1269" t="s">
        <v>1391</v>
      </c>
    </row>
    <row r="1270" spans="7:12" x14ac:dyDescent="0.25">
      <c r="G1270" t="b">
        <f>IF(OR(INDEX(IHZ_HAZ_DGCLASSIFI,13,1)="IMDG",),AND(INDEX(IHZ_HAZ_IMOHAZARDC,13,1)&lt;&gt;"",INDEX(IHZ_HAZ_UNNUMBER,13,1)&lt;&gt;""),TRUE)</f>
        <v>1</v>
      </c>
      <c r="H1270" t="str">
        <f t="shared" si="40"/>
        <v>Row 13 - If ‘DG classification’ is ‘IMDG’ the ‘IMO Hazard Class’ and ‘UN Number’ is mandatory</v>
      </c>
      <c r="I1270" t="s">
        <v>1391</v>
      </c>
      <c r="J1270" t="b">
        <f>IF(OR(INDEX(OHZ_HAZ_DGCLASSIFI,13,1)="IMDG",),AND(INDEX(OHZ_HAZ_IMOHAZARDC,13,1)&lt;&gt;"",INDEX(OHZ_HAZ_UNNUMBER,13,1)&lt;&gt;""),TRUE)</f>
        <v>1</v>
      </c>
      <c r="K1270" t="str">
        <f t="shared" si="41"/>
        <v>Row 13 - If ‘DG classification’ is ‘IMDG’ the ‘IMO Hazard Class’ and ‘UN Number’ is mandatory</v>
      </c>
      <c r="L1270" t="s">
        <v>1391</v>
      </c>
    </row>
    <row r="1271" spans="7:12" x14ac:dyDescent="0.25">
      <c r="G1271" t="b">
        <f>IF(OR(INDEX(IHZ_HAZ_DGCLASSIFI,14,1)="IMDG",),AND(INDEX(IHZ_HAZ_IMOHAZARDC,14,1)&lt;&gt;"",INDEX(IHZ_HAZ_UNNUMBER,14,1)&lt;&gt;""),TRUE)</f>
        <v>1</v>
      </c>
      <c r="H1271" t="str">
        <f t="shared" si="40"/>
        <v>Row 14 - If ‘DG classification’ is ‘IMDG’ the ‘IMO Hazard Class’ and ‘UN Number’ is mandatory</v>
      </c>
      <c r="I1271" t="s">
        <v>1391</v>
      </c>
      <c r="J1271" t="b">
        <f>IF(OR(INDEX(OHZ_HAZ_DGCLASSIFI,14,1)="IMDG",),AND(INDEX(OHZ_HAZ_IMOHAZARDC,14,1)&lt;&gt;"",INDEX(OHZ_HAZ_UNNUMBER,14,1)&lt;&gt;""),TRUE)</f>
        <v>1</v>
      </c>
      <c r="K1271" t="str">
        <f t="shared" si="41"/>
        <v>Row 14 - If ‘DG classification’ is ‘IMDG’ the ‘IMO Hazard Class’ and ‘UN Number’ is mandatory</v>
      </c>
      <c r="L1271" t="s">
        <v>1391</v>
      </c>
    </row>
    <row r="1272" spans="7:12" x14ac:dyDescent="0.25">
      <c r="G1272" t="b">
        <f>IF(OR(INDEX(IHZ_HAZ_DGCLASSIFI,15,1)="IMDG",),AND(INDEX(IHZ_HAZ_IMOHAZARDC,15,1)&lt;&gt;"",INDEX(IHZ_HAZ_UNNUMBER,15,1)&lt;&gt;""),TRUE)</f>
        <v>1</v>
      </c>
      <c r="H1272" t="str">
        <f t="shared" si="40"/>
        <v>Row 15 - If ‘DG classification’ is ‘IMDG’ the ‘IMO Hazard Class’ and ‘UN Number’ is mandatory</v>
      </c>
      <c r="I1272" t="s">
        <v>1391</v>
      </c>
      <c r="J1272" t="b">
        <f>IF(OR(INDEX(OHZ_HAZ_DGCLASSIFI,15,1)="IMDG",),AND(INDEX(OHZ_HAZ_IMOHAZARDC,15,1)&lt;&gt;"",INDEX(OHZ_HAZ_UNNUMBER,15,1)&lt;&gt;""),TRUE)</f>
        <v>1</v>
      </c>
      <c r="K1272" t="str">
        <f t="shared" si="41"/>
        <v>Row 15 - If ‘DG classification’ is ‘IMDG’ the ‘IMO Hazard Class’ and ‘UN Number’ is mandatory</v>
      </c>
      <c r="L1272" t="s">
        <v>1391</v>
      </c>
    </row>
    <row r="1273" spans="7:12" x14ac:dyDescent="0.25">
      <c r="G1273" t="b">
        <f>IF(OR(INDEX(IHZ_HAZ_DGCLASSIFI,16,1)="IMDG",),AND(INDEX(IHZ_HAZ_IMOHAZARDC,16,1)&lt;&gt;"",INDEX(IHZ_HAZ_UNNUMBER,16,1)&lt;&gt;""),TRUE)</f>
        <v>1</v>
      </c>
      <c r="H1273" t="str">
        <f t="shared" si="40"/>
        <v>Row 16 - If ‘DG classification’ is ‘IMDG’ the ‘IMO Hazard Class’ and ‘UN Number’ is mandatory</v>
      </c>
      <c r="I1273" t="s">
        <v>1391</v>
      </c>
      <c r="J1273" t="b">
        <f>IF(OR(INDEX(OHZ_HAZ_DGCLASSIFI,16,1)="IMDG",),AND(INDEX(OHZ_HAZ_IMOHAZARDC,16,1)&lt;&gt;"",INDEX(OHZ_HAZ_UNNUMBER,16,1)&lt;&gt;""),TRUE)</f>
        <v>1</v>
      </c>
      <c r="K1273" t="str">
        <f t="shared" si="41"/>
        <v>Row 16 - If ‘DG classification’ is ‘IMDG’ the ‘IMO Hazard Class’ and ‘UN Number’ is mandatory</v>
      </c>
      <c r="L1273" t="s">
        <v>1391</v>
      </c>
    </row>
    <row r="1274" spans="7:12" x14ac:dyDescent="0.25">
      <c r="G1274" t="b">
        <f>IF(OR(INDEX(IHZ_HAZ_DGCLASSIFI,17,1)="IMDG",),AND(INDEX(IHZ_HAZ_IMOHAZARDC,17,1)&lt;&gt;"",INDEX(IHZ_HAZ_UNNUMBER,17,1)&lt;&gt;""),TRUE)</f>
        <v>1</v>
      </c>
      <c r="H1274" t="str">
        <f t="shared" si="40"/>
        <v>Row 17 - If ‘DG classification’ is ‘IMDG’ the ‘IMO Hazard Class’ and ‘UN Number’ is mandatory</v>
      </c>
      <c r="I1274" t="s">
        <v>1391</v>
      </c>
      <c r="J1274" t="b">
        <f>IF(OR(INDEX(OHZ_HAZ_DGCLASSIFI,17,1)="IMDG",),AND(INDEX(OHZ_HAZ_IMOHAZARDC,17,1)&lt;&gt;"",INDEX(OHZ_HAZ_UNNUMBER,17,1)&lt;&gt;""),TRUE)</f>
        <v>1</v>
      </c>
      <c r="K1274" t="str">
        <f t="shared" si="41"/>
        <v>Row 17 - If ‘DG classification’ is ‘IMDG’ the ‘IMO Hazard Class’ and ‘UN Number’ is mandatory</v>
      </c>
      <c r="L1274" t="s">
        <v>1391</v>
      </c>
    </row>
    <row r="1275" spans="7:12" x14ac:dyDescent="0.25">
      <c r="G1275" t="b">
        <f>IF(OR(INDEX(IHZ_HAZ_DGCLASSIFI,18,1)="IMDG",),AND(INDEX(IHZ_HAZ_IMOHAZARDC,18,1)&lt;&gt;"",INDEX(IHZ_HAZ_UNNUMBER,18,1)&lt;&gt;""),TRUE)</f>
        <v>1</v>
      </c>
      <c r="H1275" t="str">
        <f t="shared" si="40"/>
        <v>Row 18 - If ‘DG classification’ is ‘IMDG’ the ‘IMO Hazard Class’ and ‘UN Number’ is mandatory</v>
      </c>
      <c r="I1275" t="s">
        <v>1391</v>
      </c>
      <c r="J1275" t="b">
        <f>IF(OR(INDEX(OHZ_HAZ_DGCLASSIFI,18,1)="IMDG",),AND(INDEX(OHZ_HAZ_IMOHAZARDC,18,1)&lt;&gt;"",INDEX(OHZ_HAZ_UNNUMBER,18,1)&lt;&gt;""),TRUE)</f>
        <v>1</v>
      </c>
      <c r="K1275" t="str">
        <f t="shared" si="41"/>
        <v>Row 18 - If ‘DG classification’ is ‘IMDG’ the ‘IMO Hazard Class’ and ‘UN Number’ is mandatory</v>
      </c>
      <c r="L1275" t="s">
        <v>1391</v>
      </c>
    </row>
    <row r="1276" spans="7:12" x14ac:dyDescent="0.25">
      <c r="G1276" t="b">
        <f>IF(OR(INDEX(IHZ_HAZ_DGCLASSIFI,19,1)="IMDG",),AND(INDEX(IHZ_HAZ_IMOHAZARDC,19,1)&lt;&gt;"",INDEX(IHZ_HAZ_UNNUMBER,19,1)&lt;&gt;""),TRUE)</f>
        <v>1</v>
      </c>
      <c r="H1276" t="str">
        <f t="shared" si="40"/>
        <v>Row 19 - If ‘DG classification’ is ‘IMDG’ the ‘IMO Hazard Class’ and ‘UN Number’ is mandatory</v>
      </c>
      <c r="I1276" t="s">
        <v>1391</v>
      </c>
      <c r="J1276" t="b">
        <f>IF(OR(INDEX(OHZ_HAZ_DGCLASSIFI,19,1)="IMDG",),AND(INDEX(OHZ_HAZ_IMOHAZARDC,19,1)&lt;&gt;"",INDEX(OHZ_HAZ_UNNUMBER,19,1)&lt;&gt;""),TRUE)</f>
        <v>1</v>
      </c>
      <c r="K1276" t="str">
        <f t="shared" si="41"/>
        <v>Row 19 - If ‘DG classification’ is ‘IMDG’ the ‘IMO Hazard Class’ and ‘UN Number’ is mandatory</v>
      </c>
      <c r="L1276" t="s">
        <v>1391</v>
      </c>
    </row>
    <row r="1277" spans="7:12" x14ac:dyDescent="0.25">
      <c r="G1277" t="b">
        <f>IF(OR(INDEX(IHZ_HAZ_DGCLASSIFI,20,1)="IMDG",),AND(INDEX(IHZ_HAZ_IMOHAZARDC,20,1)&lt;&gt;"",INDEX(IHZ_HAZ_UNNUMBER,20,1)&lt;&gt;""),TRUE)</f>
        <v>1</v>
      </c>
      <c r="H1277" t="str">
        <f t="shared" si="40"/>
        <v>Row 20 - If ‘DG classification’ is ‘IMDG’ the ‘IMO Hazard Class’ and ‘UN Number’ is mandatory</v>
      </c>
      <c r="I1277" t="s">
        <v>1391</v>
      </c>
      <c r="J1277" t="b">
        <f>IF(OR(INDEX(OHZ_HAZ_DGCLASSIFI,20,1)="IMDG",),AND(INDEX(OHZ_HAZ_IMOHAZARDC,20,1)&lt;&gt;"",INDEX(OHZ_HAZ_UNNUMBER,20,1)&lt;&gt;""),TRUE)</f>
        <v>1</v>
      </c>
      <c r="K1277" t="str">
        <f t="shared" si="41"/>
        <v>Row 20 - If ‘DG classification’ is ‘IMDG’ the ‘IMO Hazard Class’ and ‘UN Number’ is mandatory</v>
      </c>
      <c r="L1277" t="s">
        <v>1391</v>
      </c>
    </row>
    <row r="1278" spans="7:12" x14ac:dyDescent="0.25">
      <c r="G1278" t="b">
        <f>IF(OR(INDEX(IHZ_HAZ_DGCLASSIFI,21,1)="IMDG",),AND(INDEX(IHZ_HAZ_IMOHAZARDC,21,1)&lt;&gt;"",INDEX(IHZ_HAZ_UNNUMBER,21,1)&lt;&gt;""),TRUE)</f>
        <v>1</v>
      </c>
      <c r="H1278" t="str">
        <f t="shared" si="40"/>
        <v>Row 21 - If ‘DG classification’ is ‘IMDG’ the ‘IMO Hazard Class’ and ‘UN Number’ is mandatory</v>
      </c>
      <c r="I1278" t="s">
        <v>1391</v>
      </c>
      <c r="J1278" t="b">
        <f>IF(OR(INDEX(OHZ_HAZ_DGCLASSIFI,21,1)="IMDG",),AND(INDEX(OHZ_HAZ_IMOHAZARDC,21,1)&lt;&gt;"",INDEX(OHZ_HAZ_UNNUMBER,21,1)&lt;&gt;""),TRUE)</f>
        <v>1</v>
      </c>
      <c r="K1278" t="str">
        <f t="shared" si="41"/>
        <v>Row 21 - If ‘DG classification’ is ‘IMDG’ the ‘IMO Hazard Class’ and ‘UN Number’ is mandatory</v>
      </c>
      <c r="L1278" t="s">
        <v>1391</v>
      </c>
    </row>
    <row r="1279" spans="7:12" x14ac:dyDescent="0.25">
      <c r="G1279" t="b">
        <f>IF(OR(INDEX(IHZ_HAZ_DGCLASSIFI,22,1)="IMDG",),AND(INDEX(IHZ_HAZ_IMOHAZARDC,22,1)&lt;&gt;"",INDEX(IHZ_HAZ_UNNUMBER,22,1)&lt;&gt;""),TRUE)</f>
        <v>1</v>
      </c>
      <c r="H1279" t="str">
        <f t="shared" si="40"/>
        <v>Row 22 - If ‘DG classification’ is ‘IMDG’ the ‘IMO Hazard Class’ and ‘UN Number’ is mandatory</v>
      </c>
      <c r="I1279" t="s">
        <v>1391</v>
      </c>
      <c r="J1279" t="b">
        <f>IF(OR(INDEX(OHZ_HAZ_DGCLASSIFI,22,1)="IMDG",),AND(INDEX(OHZ_HAZ_IMOHAZARDC,22,1)&lt;&gt;"",INDEX(OHZ_HAZ_UNNUMBER,22,1)&lt;&gt;""),TRUE)</f>
        <v>1</v>
      </c>
      <c r="K1279" t="str">
        <f t="shared" si="41"/>
        <v>Row 22 - If ‘DG classification’ is ‘IMDG’ the ‘IMO Hazard Class’ and ‘UN Number’ is mandatory</v>
      </c>
      <c r="L1279" t="s">
        <v>1391</v>
      </c>
    </row>
    <row r="1280" spans="7:12" x14ac:dyDescent="0.25">
      <c r="G1280" t="b">
        <f>IF(OR(INDEX(IHZ_HAZ_DGCLASSIFI,23,1)="IMDG",),AND(INDEX(IHZ_HAZ_IMOHAZARDC,23,1)&lt;&gt;"",INDEX(IHZ_HAZ_UNNUMBER,23,1)&lt;&gt;""),TRUE)</f>
        <v>1</v>
      </c>
      <c r="H1280" t="str">
        <f t="shared" si="40"/>
        <v>Row 23 - If ‘DG classification’ is ‘IMDG’ the ‘IMO Hazard Class’ and ‘UN Number’ is mandatory</v>
      </c>
      <c r="I1280" t="s">
        <v>1391</v>
      </c>
      <c r="J1280" t="b">
        <f>IF(OR(INDEX(OHZ_HAZ_DGCLASSIFI,23,1)="IMDG",),AND(INDEX(OHZ_HAZ_IMOHAZARDC,23,1)&lt;&gt;"",INDEX(OHZ_HAZ_UNNUMBER,23,1)&lt;&gt;""),TRUE)</f>
        <v>1</v>
      </c>
      <c r="K1280" t="str">
        <f t="shared" si="41"/>
        <v>Row 23 - If ‘DG classification’ is ‘IMDG’ the ‘IMO Hazard Class’ and ‘UN Number’ is mandatory</v>
      </c>
      <c r="L1280" t="s">
        <v>1391</v>
      </c>
    </row>
    <row r="1281" spans="7:12" x14ac:dyDescent="0.25">
      <c r="G1281" t="b">
        <f>IF(OR(INDEX(IHZ_HAZ_DGCLASSIFI,24,1)="IMDG",),AND(INDEX(IHZ_HAZ_IMOHAZARDC,24,1)&lt;&gt;"",INDEX(IHZ_HAZ_UNNUMBER,24,1)&lt;&gt;""),TRUE)</f>
        <v>1</v>
      </c>
      <c r="H1281" t="str">
        <f t="shared" si="40"/>
        <v>Row 24 - If ‘DG classification’ is ‘IMDG’ the ‘IMO Hazard Class’ and ‘UN Number’ is mandatory</v>
      </c>
      <c r="I1281" t="s">
        <v>1391</v>
      </c>
      <c r="J1281" t="b">
        <f>IF(OR(INDEX(OHZ_HAZ_DGCLASSIFI,24,1)="IMDG",),AND(INDEX(OHZ_HAZ_IMOHAZARDC,24,1)&lt;&gt;"",INDEX(OHZ_HAZ_UNNUMBER,24,1)&lt;&gt;""),TRUE)</f>
        <v>1</v>
      </c>
      <c r="K1281" t="str">
        <f t="shared" si="41"/>
        <v>Row 24 - If ‘DG classification’ is ‘IMDG’ the ‘IMO Hazard Class’ and ‘UN Number’ is mandatory</v>
      </c>
      <c r="L1281" t="s">
        <v>1391</v>
      </c>
    </row>
    <row r="1282" spans="7:12" x14ac:dyDescent="0.25">
      <c r="G1282" t="b">
        <f>IF(OR(INDEX(IHZ_HAZ_DGCLASSIFI,25,1)="IMDG",),AND(INDEX(IHZ_HAZ_IMOHAZARDC,25,1)&lt;&gt;"",INDEX(IHZ_HAZ_UNNUMBER,25,1)&lt;&gt;""),TRUE)</f>
        <v>1</v>
      </c>
      <c r="H1282" t="str">
        <f t="shared" si="40"/>
        <v>Row 25 - If ‘DG classification’ is ‘IMDG’ the ‘IMO Hazard Class’ and ‘UN Number’ is mandatory</v>
      </c>
      <c r="I1282" t="s">
        <v>1391</v>
      </c>
      <c r="J1282" t="b">
        <f>IF(OR(INDEX(OHZ_HAZ_DGCLASSIFI,25,1)="IMDG",),AND(INDEX(OHZ_HAZ_IMOHAZARDC,25,1)&lt;&gt;"",INDEX(OHZ_HAZ_UNNUMBER,25,1)&lt;&gt;""),TRUE)</f>
        <v>1</v>
      </c>
      <c r="K1282" t="str">
        <f t="shared" si="41"/>
        <v>Row 25 - If ‘DG classification’ is ‘IMDG’ the ‘IMO Hazard Class’ and ‘UN Number’ is mandatory</v>
      </c>
      <c r="L1282" t="s">
        <v>1391</v>
      </c>
    </row>
    <row r="1283" spans="7:12" x14ac:dyDescent="0.25">
      <c r="G1283" t="b">
        <f>IF(OR(INDEX(IHZ_HAZ_DGCLASSIFI,26,1)="IMDG",),AND(INDEX(IHZ_HAZ_IMOHAZARDC,26,1)&lt;&gt;"",INDEX(IHZ_HAZ_UNNUMBER,26,1)&lt;&gt;""),TRUE)</f>
        <v>1</v>
      </c>
      <c r="H1283" t="str">
        <f t="shared" si="40"/>
        <v>Row 26 - If ‘DG classification’ is ‘IMDG’ the ‘IMO Hazard Class’ and ‘UN Number’ is mandatory</v>
      </c>
      <c r="I1283" t="s">
        <v>1391</v>
      </c>
      <c r="J1283" t="b">
        <f>IF(OR(INDEX(OHZ_HAZ_DGCLASSIFI,26,1)="IMDG",),AND(INDEX(OHZ_HAZ_IMOHAZARDC,26,1)&lt;&gt;"",INDEX(OHZ_HAZ_UNNUMBER,26,1)&lt;&gt;""),TRUE)</f>
        <v>1</v>
      </c>
      <c r="K1283" t="str">
        <f t="shared" si="41"/>
        <v>Row 26 - If ‘DG classification’ is ‘IMDG’ the ‘IMO Hazard Class’ and ‘UN Number’ is mandatory</v>
      </c>
      <c r="L1283" t="s">
        <v>1391</v>
      </c>
    </row>
    <row r="1284" spans="7:12" x14ac:dyDescent="0.25">
      <c r="G1284" t="b">
        <f>IF(OR(INDEX(IHZ_HAZ_DGCLASSIFI,27,1)="IMDG",),AND(INDEX(IHZ_HAZ_IMOHAZARDC,27,1)&lt;&gt;"",INDEX(IHZ_HAZ_UNNUMBER,27,1)&lt;&gt;""),TRUE)</f>
        <v>1</v>
      </c>
      <c r="H1284" t="str">
        <f t="shared" si="40"/>
        <v>Row 27 - If ‘DG classification’ is ‘IMDG’ the ‘IMO Hazard Class’ and ‘UN Number’ is mandatory</v>
      </c>
      <c r="I1284" t="s">
        <v>1391</v>
      </c>
      <c r="J1284" t="b">
        <f>IF(OR(INDEX(OHZ_HAZ_DGCLASSIFI,27,1)="IMDG",),AND(INDEX(OHZ_HAZ_IMOHAZARDC,27,1)&lt;&gt;"",INDEX(OHZ_HAZ_UNNUMBER,27,1)&lt;&gt;""),TRUE)</f>
        <v>1</v>
      </c>
      <c r="K1284" t="str">
        <f t="shared" si="41"/>
        <v>Row 27 - If ‘DG classification’ is ‘IMDG’ the ‘IMO Hazard Class’ and ‘UN Number’ is mandatory</v>
      </c>
      <c r="L1284" t="s">
        <v>1391</v>
      </c>
    </row>
    <row r="1285" spans="7:12" x14ac:dyDescent="0.25">
      <c r="G1285" t="b">
        <f>IF(OR(INDEX(IHZ_HAZ_DGCLASSIFI,28,1)="IMDG",),AND(INDEX(IHZ_HAZ_IMOHAZARDC,28,1)&lt;&gt;"",INDEX(IHZ_HAZ_UNNUMBER,28,1)&lt;&gt;""),TRUE)</f>
        <v>1</v>
      </c>
      <c r="H1285" t="str">
        <f t="shared" si="40"/>
        <v>Row 28 - If ‘DG classification’ is ‘IMDG’ the ‘IMO Hazard Class’ and ‘UN Number’ is mandatory</v>
      </c>
      <c r="I1285" t="s">
        <v>1391</v>
      </c>
      <c r="J1285" t="b">
        <f>IF(OR(INDEX(OHZ_HAZ_DGCLASSIFI,28,1)="IMDG",),AND(INDEX(OHZ_HAZ_IMOHAZARDC,28,1)&lt;&gt;"",INDEX(OHZ_HAZ_UNNUMBER,28,1)&lt;&gt;""),TRUE)</f>
        <v>1</v>
      </c>
      <c r="K1285" t="str">
        <f t="shared" si="41"/>
        <v>Row 28 - If ‘DG classification’ is ‘IMDG’ the ‘IMO Hazard Class’ and ‘UN Number’ is mandatory</v>
      </c>
      <c r="L1285" t="s">
        <v>1391</v>
      </c>
    </row>
    <row r="1286" spans="7:12" x14ac:dyDescent="0.25">
      <c r="G1286" t="b">
        <f>IF(OR(INDEX(IHZ_HAZ_DGCLASSIFI,29,1)="IMDG",),AND(INDEX(IHZ_HAZ_IMOHAZARDC,29,1)&lt;&gt;"",INDEX(IHZ_HAZ_UNNUMBER,29,1)&lt;&gt;""),TRUE)</f>
        <v>1</v>
      </c>
      <c r="H1286" t="str">
        <f t="shared" si="40"/>
        <v>Row 29 - If ‘DG classification’ is ‘IMDG’ the ‘IMO Hazard Class’ and ‘UN Number’ is mandatory</v>
      </c>
      <c r="I1286" t="s">
        <v>1391</v>
      </c>
      <c r="J1286" t="b">
        <f>IF(OR(INDEX(OHZ_HAZ_DGCLASSIFI,29,1)="IMDG",),AND(INDEX(OHZ_HAZ_IMOHAZARDC,29,1)&lt;&gt;"",INDEX(OHZ_HAZ_UNNUMBER,29,1)&lt;&gt;""),TRUE)</f>
        <v>1</v>
      </c>
      <c r="K1286" t="str">
        <f t="shared" si="41"/>
        <v>Row 29 - If ‘DG classification’ is ‘IMDG’ the ‘IMO Hazard Class’ and ‘UN Number’ is mandatory</v>
      </c>
      <c r="L1286" t="s">
        <v>1391</v>
      </c>
    </row>
    <row r="1287" spans="7:12" x14ac:dyDescent="0.25">
      <c r="G1287" t="b">
        <f>IF(OR(INDEX(IHZ_HAZ_DGCLASSIFI,30,1)="IMDG",),AND(INDEX(IHZ_HAZ_IMOHAZARDC,30,1)&lt;&gt;"",INDEX(IHZ_HAZ_UNNUMBER,30,1)&lt;&gt;""),TRUE)</f>
        <v>1</v>
      </c>
      <c r="H1287" t="str">
        <f t="shared" si="40"/>
        <v>Row 30 - If ‘DG classification’ is ‘IMDG’ the ‘IMO Hazard Class’ and ‘UN Number’ is mandatory</v>
      </c>
      <c r="I1287" t="s">
        <v>1391</v>
      </c>
      <c r="J1287" t="b">
        <f>IF(OR(INDEX(OHZ_HAZ_DGCLASSIFI,30,1)="IMDG",),AND(INDEX(OHZ_HAZ_IMOHAZARDC,30,1)&lt;&gt;"",INDEX(OHZ_HAZ_UNNUMBER,30,1)&lt;&gt;""),TRUE)</f>
        <v>1</v>
      </c>
      <c r="K1287" t="str">
        <f t="shared" si="41"/>
        <v>Row 30 - If ‘DG classification’ is ‘IMDG’ the ‘IMO Hazard Class’ and ‘UN Number’ is mandatory</v>
      </c>
      <c r="L1287" t="s">
        <v>1391</v>
      </c>
    </row>
    <row r="1288" spans="7:12" x14ac:dyDescent="0.25">
      <c r="G1288" t="b">
        <f>IF(OR(INDEX(IHZ_HAZ_DGCLASSIFI,31,1)="IMDG",),AND(INDEX(IHZ_HAZ_IMOHAZARDC,31,1)&lt;&gt;"",INDEX(IHZ_HAZ_UNNUMBER,31,1)&lt;&gt;""),TRUE)</f>
        <v>1</v>
      </c>
      <c r="H1288" t="str">
        <f t="shared" si="40"/>
        <v>Row 31 - If ‘DG classification’ is ‘IMDG’ the ‘IMO Hazard Class’ and ‘UN Number’ is mandatory</v>
      </c>
      <c r="I1288" t="s">
        <v>1391</v>
      </c>
      <c r="J1288" t="b">
        <f>IF(OR(INDEX(OHZ_HAZ_DGCLASSIFI,31,1)="IMDG",),AND(INDEX(OHZ_HAZ_IMOHAZARDC,31,1)&lt;&gt;"",INDEX(OHZ_HAZ_UNNUMBER,31,1)&lt;&gt;""),TRUE)</f>
        <v>1</v>
      </c>
      <c r="K1288" t="str">
        <f t="shared" si="41"/>
        <v>Row 31 - If ‘DG classification’ is ‘IMDG’ the ‘IMO Hazard Class’ and ‘UN Number’ is mandatory</v>
      </c>
      <c r="L1288" t="s">
        <v>1391</v>
      </c>
    </row>
    <row r="1289" spans="7:12" x14ac:dyDescent="0.25">
      <c r="G1289" t="b">
        <f>IF(OR(INDEX(IHZ_HAZ_DGCLASSIFI,32,1)="IMDG",),AND(INDEX(IHZ_HAZ_IMOHAZARDC,32,1)&lt;&gt;"",INDEX(IHZ_HAZ_UNNUMBER,32,1)&lt;&gt;""),TRUE)</f>
        <v>1</v>
      </c>
      <c r="H1289" t="str">
        <f t="shared" si="40"/>
        <v>Row 32 - If ‘DG classification’ is ‘IMDG’ the ‘IMO Hazard Class’ and ‘UN Number’ is mandatory</v>
      </c>
      <c r="I1289" t="s">
        <v>1391</v>
      </c>
      <c r="J1289" t="b">
        <f>IF(OR(INDEX(OHZ_HAZ_DGCLASSIFI,32,1)="IMDG",),AND(INDEX(OHZ_HAZ_IMOHAZARDC,32,1)&lt;&gt;"",INDEX(OHZ_HAZ_UNNUMBER,32,1)&lt;&gt;""),TRUE)</f>
        <v>1</v>
      </c>
      <c r="K1289" t="str">
        <f t="shared" si="41"/>
        <v>Row 32 - If ‘DG classification’ is ‘IMDG’ the ‘IMO Hazard Class’ and ‘UN Number’ is mandatory</v>
      </c>
      <c r="L1289" t="s">
        <v>1391</v>
      </c>
    </row>
    <row r="1290" spans="7:12" x14ac:dyDescent="0.25">
      <c r="G1290" t="b">
        <f>IF(OR(INDEX(IHZ_HAZ_DGCLASSIFI,33,1)="IMDG",),AND(INDEX(IHZ_HAZ_IMOHAZARDC,33,1)&lt;&gt;"",INDEX(IHZ_HAZ_UNNUMBER,33,1)&lt;&gt;""),TRUE)</f>
        <v>1</v>
      </c>
      <c r="H1290" t="str">
        <f t="shared" si="40"/>
        <v>Row 33 - If ‘DG classification’ is ‘IMDG’ the ‘IMO Hazard Class’ and ‘UN Number’ is mandatory</v>
      </c>
      <c r="I1290" t="s">
        <v>1391</v>
      </c>
      <c r="J1290" t="b">
        <f>IF(OR(INDEX(OHZ_HAZ_DGCLASSIFI,33,1)="IMDG",),AND(INDEX(OHZ_HAZ_IMOHAZARDC,33,1)&lt;&gt;"",INDEX(OHZ_HAZ_UNNUMBER,33,1)&lt;&gt;""),TRUE)</f>
        <v>1</v>
      </c>
      <c r="K1290" t="str">
        <f t="shared" si="41"/>
        <v>Row 33 - If ‘DG classification’ is ‘IMDG’ the ‘IMO Hazard Class’ and ‘UN Number’ is mandatory</v>
      </c>
      <c r="L1290" t="s">
        <v>1391</v>
      </c>
    </row>
    <row r="1291" spans="7:12" x14ac:dyDescent="0.25">
      <c r="G1291" t="b">
        <f>IF(OR(INDEX(IHZ_HAZ_DGCLASSIFI,34,1)="IMDG",),AND(INDEX(IHZ_HAZ_IMOHAZARDC,34,1)&lt;&gt;"",INDEX(IHZ_HAZ_UNNUMBER,34,1)&lt;&gt;""),TRUE)</f>
        <v>1</v>
      </c>
      <c r="H1291" t="str">
        <f t="shared" si="40"/>
        <v>Row 34 - If ‘DG classification’ is ‘IMDG’ the ‘IMO Hazard Class’ and ‘UN Number’ is mandatory</v>
      </c>
      <c r="I1291" t="s">
        <v>1391</v>
      </c>
      <c r="J1291" t="b">
        <f>IF(OR(INDEX(OHZ_HAZ_DGCLASSIFI,34,1)="IMDG",),AND(INDEX(OHZ_HAZ_IMOHAZARDC,34,1)&lt;&gt;"",INDEX(OHZ_HAZ_UNNUMBER,34,1)&lt;&gt;""),TRUE)</f>
        <v>1</v>
      </c>
      <c r="K1291" t="str">
        <f t="shared" si="41"/>
        <v>Row 34 - If ‘DG classification’ is ‘IMDG’ the ‘IMO Hazard Class’ and ‘UN Number’ is mandatory</v>
      </c>
      <c r="L1291" t="s">
        <v>1391</v>
      </c>
    </row>
    <row r="1292" spans="7:12" x14ac:dyDescent="0.25">
      <c r="G1292" t="b">
        <f>IF(OR(INDEX(IHZ_HAZ_DGCLASSIFI,35,1)="IMDG",),AND(INDEX(IHZ_HAZ_IMOHAZARDC,35,1)&lt;&gt;"",INDEX(IHZ_HAZ_UNNUMBER,35,1)&lt;&gt;""),TRUE)</f>
        <v>1</v>
      </c>
      <c r="H1292" t="str">
        <f t="shared" si="40"/>
        <v>Row 35 - If ‘DG classification’ is ‘IMDG’ the ‘IMO Hazard Class’ and ‘UN Number’ is mandatory</v>
      </c>
      <c r="I1292" t="s">
        <v>1391</v>
      </c>
      <c r="J1292" t="b">
        <f>IF(OR(INDEX(OHZ_HAZ_DGCLASSIFI,35,1)="IMDG",),AND(INDEX(OHZ_HAZ_IMOHAZARDC,35,1)&lt;&gt;"",INDEX(OHZ_HAZ_UNNUMBER,35,1)&lt;&gt;""),TRUE)</f>
        <v>1</v>
      </c>
      <c r="K1292" t="str">
        <f t="shared" si="41"/>
        <v>Row 35 - If ‘DG classification’ is ‘IMDG’ the ‘IMO Hazard Class’ and ‘UN Number’ is mandatory</v>
      </c>
      <c r="L1292" t="s">
        <v>1391</v>
      </c>
    </row>
    <row r="1293" spans="7:12" x14ac:dyDescent="0.25">
      <c r="G1293" t="b">
        <f>IF(OR(INDEX(IHZ_HAZ_DGCLASSIFI,36,1)="IMDG",),AND(INDEX(IHZ_HAZ_IMOHAZARDC,36,1)&lt;&gt;"",INDEX(IHZ_HAZ_UNNUMBER,36,1)&lt;&gt;""),TRUE)</f>
        <v>1</v>
      </c>
      <c r="H1293" t="str">
        <f t="shared" si="40"/>
        <v>Row 36 - If ‘DG classification’ is ‘IMDG’ the ‘IMO Hazard Class’ and ‘UN Number’ is mandatory</v>
      </c>
      <c r="I1293" t="s">
        <v>1391</v>
      </c>
      <c r="J1293" t="b">
        <f>IF(OR(INDEX(OHZ_HAZ_DGCLASSIFI,36,1)="IMDG",),AND(INDEX(OHZ_HAZ_IMOHAZARDC,36,1)&lt;&gt;"",INDEX(OHZ_HAZ_UNNUMBER,36,1)&lt;&gt;""),TRUE)</f>
        <v>1</v>
      </c>
      <c r="K1293" t="str">
        <f t="shared" si="41"/>
        <v>Row 36 - If ‘DG classification’ is ‘IMDG’ the ‘IMO Hazard Class’ and ‘UN Number’ is mandatory</v>
      </c>
      <c r="L1293" t="s">
        <v>1391</v>
      </c>
    </row>
    <row r="1294" spans="7:12" x14ac:dyDescent="0.25">
      <c r="G1294" t="b">
        <f>IF(OR(INDEX(IHZ_HAZ_DGCLASSIFI,37,1)="IMDG",),AND(INDEX(IHZ_HAZ_IMOHAZARDC,37,1)&lt;&gt;"",INDEX(IHZ_HAZ_UNNUMBER,37,1)&lt;&gt;""),TRUE)</f>
        <v>1</v>
      </c>
      <c r="H1294" t="str">
        <f t="shared" si="40"/>
        <v>Row 37 - If ‘DG classification’ is ‘IMDG’ the ‘IMO Hazard Class’ and ‘UN Number’ is mandatory</v>
      </c>
      <c r="I1294" t="s">
        <v>1391</v>
      </c>
      <c r="J1294" t="b">
        <f>IF(OR(INDEX(OHZ_HAZ_DGCLASSIFI,37,1)="IMDG",),AND(INDEX(OHZ_HAZ_IMOHAZARDC,37,1)&lt;&gt;"",INDEX(OHZ_HAZ_UNNUMBER,37,1)&lt;&gt;""),TRUE)</f>
        <v>1</v>
      </c>
      <c r="K1294" t="str">
        <f t="shared" si="41"/>
        <v>Row 37 - If ‘DG classification’ is ‘IMDG’ the ‘IMO Hazard Class’ and ‘UN Number’ is mandatory</v>
      </c>
    </row>
    <row r="1295" spans="7:12" x14ac:dyDescent="0.25">
      <c r="G1295" t="b">
        <f>IF(OR(INDEX(IHZ_HAZ_DGCLASSIFI,38,1)="IMDG",),AND(INDEX(IHZ_HAZ_IMOHAZARDC,38,1)&lt;&gt;"",INDEX(IHZ_HAZ_UNNUMBER,38,1)&lt;&gt;""),TRUE)</f>
        <v>1</v>
      </c>
      <c r="H1295" t="str">
        <f t="shared" si="40"/>
        <v>Row 38 - If ‘DG classification’ is ‘IMDG’ the ‘IMO Hazard Class’ and ‘UN Number’ is mandatory</v>
      </c>
      <c r="I1295" t="s">
        <v>1391</v>
      </c>
      <c r="J1295" t="b">
        <f>IF(OR(INDEX(OHZ_HAZ_DGCLASSIFI,38,1)="IMDG",),AND(INDEX(OHZ_HAZ_IMOHAZARDC,38,1)&lt;&gt;"",INDEX(OHZ_HAZ_UNNUMBER,38,1)&lt;&gt;""),TRUE)</f>
        <v>1</v>
      </c>
      <c r="K1295" t="str">
        <f t="shared" si="41"/>
        <v>Row 38 - If ‘DG classification’ is ‘IMDG’ the ‘IMO Hazard Class’ and ‘UN Number’ is mandatory</v>
      </c>
    </row>
    <row r="1296" spans="7:12" x14ac:dyDescent="0.25">
      <c r="G1296" t="b">
        <f>IF(OR(INDEX(IHZ_HAZ_DGCLASSIFI,39,1)="IMDG",),AND(INDEX(IHZ_HAZ_IMOHAZARDC,39,1)&lt;&gt;"",INDEX(IHZ_HAZ_UNNUMBER,39,1)&lt;&gt;""),TRUE)</f>
        <v>1</v>
      </c>
      <c r="H1296" t="str">
        <f t="shared" si="40"/>
        <v>Row 39 - If ‘DG classification’ is ‘IMDG’ the ‘IMO Hazard Class’ and ‘UN Number’ is mandatory</v>
      </c>
      <c r="I1296" t="s">
        <v>1391</v>
      </c>
      <c r="J1296" t="b">
        <f>IF(OR(INDEX(OHZ_HAZ_DGCLASSIFI,39,1)="IMDG",),AND(INDEX(OHZ_HAZ_IMOHAZARDC,39,1)&lt;&gt;"",INDEX(OHZ_HAZ_UNNUMBER,39,1)&lt;&gt;""),TRUE)</f>
        <v>1</v>
      </c>
      <c r="K1296" t="str">
        <f t="shared" si="41"/>
        <v>Row 39 - If ‘DG classification’ is ‘IMDG’ the ‘IMO Hazard Class’ and ‘UN Number’ is mandatory</v>
      </c>
    </row>
    <row r="1297" spans="7:11" x14ac:dyDescent="0.25">
      <c r="G1297" t="b">
        <f>IF(OR(INDEX(IHZ_HAZ_DGCLASSIFI,40,1)="IMDG",),AND(INDEX(IHZ_HAZ_IMOHAZARDC,40,1)&lt;&gt;"",INDEX(IHZ_HAZ_UNNUMBER,40,1)&lt;&gt;""),TRUE)</f>
        <v>1</v>
      </c>
      <c r="H1297" t="str">
        <f t="shared" si="40"/>
        <v>Row 40 - If ‘DG classification’ is ‘IMDG’ the ‘IMO Hazard Class’ and ‘UN Number’ is mandatory</v>
      </c>
      <c r="I1297" t="s">
        <v>1391</v>
      </c>
      <c r="J1297" t="b">
        <f>IF(OR(INDEX(OHZ_HAZ_DGCLASSIFI,40,1)="IMDG",),AND(INDEX(OHZ_HAZ_IMOHAZARDC,40,1)&lt;&gt;"",INDEX(OHZ_HAZ_UNNUMBER,40,1)&lt;&gt;""),TRUE)</f>
        <v>1</v>
      </c>
      <c r="K1297" t="str">
        <f t="shared" si="41"/>
        <v>Row 40 - If ‘DG classification’ is ‘IMDG’ the ‘IMO Hazard Class’ and ‘UN Number’ is mandatory</v>
      </c>
    </row>
    <row r="1298" spans="7:11" x14ac:dyDescent="0.25">
      <c r="G1298" t="b">
        <f>IF(OR(INDEX(IHZ_HAZ_DGCLASSIFI,41,1)="IMDG",),AND(INDEX(IHZ_HAZ_IMOHAZARDC,41,1)&lt;&gt;"",INDEX(IHZ_HAZ_UNNUMBER,41,1)&lt;&gt;""),TRUE)</f>
        <v>1</v>
      </c>
      <c r="H1298" t="str">
        <f t="shared" si="40"/>
        <v>Row 41 - If ‘DG classification’ is ‘IMDG’ the ‘IMO Hazard Class’ and ‘UN Number’ is mandatory</v>
      </c>
      <c r="I1298" t="s">
        <v>1391</v>
      </c>
      <c r="J1298" t="b">
        <f>IF(OR(INDEX(OHZ_HAZ_DGCLASSIFI,41,1)="IMDG",),AND(INDEX(OHZ_HAZ_IMOHAZARDC,41,1)&lt;&gt;"",INDEX(OHZ_HAZ_UNNUMBER,41,1)&lt;&gt;""),TRUE)</f>
        <v>1</v>
      </c>
      <c r="K1298" t="str">
        <f t="shared" si="41"/>
        <v>Row 41 - If ‘DG classification’ is ‘IMDG’ the ‘IMO Hazard Class’ and ‘UN Number’ is mandatory</v>
      </c>
    </row>
    <row r="1299" spans="7:11" x14ac:dyDescent="0.25">
      <c r="G1299" t="b">
        <f>IF(OR(INDEX(IHZ_HAZ_DGCLASSIFI,42,1)="IMDG",),AND(INDEX(IHZ_HAZ_IMOHAZARDC,42,1)&lt;&gt;"",INDEX(IHZ_HAZ_UNNUMBER,42,1)&lt;&gt;""),TRUE)</f>
        <v>1</v>
      </c>
      <c r="H1299" t="str">
        <f t="shared" si="40"/>
        <v>Row 42 - If ‘DG classification’ is ‘IMDG’ the ‘IMO Hazard Class’ and ‘UN Number’ is mandatory</v>
      </c>
      <c r="I1299" t="s">
        <v>1391</v>
      </c>
      <c r="J1299" t="b">
        <f>IF(OR(INDEX(OHZ_HAZ_DGCLASSIFI,42,1)="IMDG",),AND(INDEX(OHZ_HAZ_IMOHAZARDC,42,1)&lt;&gt;"",INDEX(OHZ_HAZ_UNNUMBER,42,1)&lt;&gt;""),TRUE)</f>
        <v>1</v>
      </c>
      <c r="K1299" t="str">
        <f t="shared" si="41"/>
        <v>Row 42 - If ‘DG classification’ is ‘IMDG’ the ‘IMO Hazard Class’ and ‘UN Number’ is mandatory</v>
      </c>
    </row>
    <row r="1300" spans="7:11" x14ac:dyDescent="0.25">
      <c r="G1300" t="b">
        <f>IF(OR(INDEX(IHZ_HAZ_DGCLASSIFI,43,1)="IMDG",),AND(INDEX(IHZ_HAZ_IMOHAZARDC,43,1)&lt;&gt;"",INDEX(IHZ_HAZ_UNNUMBER,43,1)&lt;&gt;""),TRUE)</f>
        <v>1</v>
      </c>
      <c r="H1300" t="str">
        <f t="shared" si="40"/>
        <v>Row 43 - If ‘DG classification’ is ‘IMDG’ the ‘IMO Hazard Class’ and ‘UN Number’ is mandatory</v>
      </c>
      <c r="I1300" t="s">
        <v>1391</v>
      </c>
      <c r="J1300" t="b">
        <f>IF(OR(INDEX(OHZ_HAZ_DGCLASSIFI,43,1)="IMDG",),AND(INDEX(OHZ_HAZ_IMOHAZARDC,43,1)&lt;&gt;"",INDEX(OHZ_HAZ_UNNUMBER,43,1)&lt;&gt;""),TRUE)</f>
        <v>1</v>
      </c>
      <c r="K1300" t="str">
        <f t="shared" si="41"/>
        <v>Row 43 - If ‘DG classification’ is ‘IMDG’ the ‘IMO Hazard Class’ and ‘UN Number’ is mandatory</v>
      </c>
    </row>
    <row r="1301" spans="7:11" x14ac:dyDescent="0.25">
      <c r="G1301" t="b">
        <f>IF(OR(INDEX(IHZ_HAZ_DGCLASSIFI,44,1)="IMDG",),AND(INDEX(IHZ_HAZ_IMOHAZARDC,44,1)&lt;&gt;"",INDEX(IHZ_HAZ_UNNUMBER,44,1)&lt;&gt;""),TRUE)</f>
        <v>1</v>
      </c>
      <c r="H1301" t="str">
        <f t="shared" si="40"/>
        <v>Row 44 - If ‘DG classification’ is ‘IMDG’ the ‘IMO Hazard Class’ and ‘UN Number’ is mandatory</v>
      </c>
      <c r="I1301" t="s">
        <v>1391</v>
      </c>
      <c r="J1301" t="b">
        <f>IF(OR(INDEX(OHZ_HAZ_DGCLASSIFI,44,1)="IMDG",),AND(INDEX(OHZ_HAZ_IMOHAZARDC,44,1)&lt;&gt;"",INDEX(OHZ_HAZ_UNNUMBER,44,1)&lt;&gt;""),TRUE)</f>
        <v>1</v>
      </c>
      <c r="K1301" t="str">
        <f t="shared" si="41"/>
        <v>Row 44 - If ‘DG classification’ is ‘IMDG’ the ‘IMO Hazard Class’ and ‘UN Number’ is mandatory</v>
      </c>
    </row>
    <row r="1302" spans="7:11" x14ac:dyDescent="0.25">
      <c r="G1302" t="b">
        <f>IF(OR(INDEX(IHZ_HAZ_DGCLASSIFI,45,1)="IMDG",),AND(INDEX(IHZ_HAZ_IMOHAZARDC,45,1)&lt;&gt;"",INDEX(IHZ_HAZ_UNNUMBER,45,1)&lt;&gt;""),TRUE)</f>
        <v>1</v>
      </c>
      <c r="H1302" t="str">
        <f t="shared" si="40"/>
        <v>Row 45 - If ‘DG classification’ is ‘IMDG’ the ‘IMO Hazard Class’ and ‘UN Number’ is mandatory</v>
      </c>
      <c r="I1302" t="s">
        <v>1391</v>
      </c>
      <c r="J1302" t="b">
        <f>IF(OR(INDEX(OHZ_HAZ_DGCLASSIFI,45,1)="IMDG",),AND(INDEX(OHZ_HAZ_IMOHAZARDC,45,1)&lt;&gt;"",INDEX(OHZ_HAZ_UNNUMBER,45,1)&lt;&gt;""),TRUE)</f>
        <v>1</v>
      </c>
      <c r="K1302" t="str">
        <f t="shared" si="41"/>
        <v>Row 45 - If ‘DG classification’ is ‘IMDG’ the ‘IMO Hazard Class’ and ‘UN Number’ is mandatory</v>
      </c>
    </row>
    <row r="1303" spans="7:11" x14ac:dyDescent="0.25">
      <c r="G1303" t="b">
        <f>IF(OR(INDEX(IHZ_HAZ_DGCLASSIFI,46,1)="IMDG",),AND(INDEX(IHZ_HAZ_IMOHAZARDC,46,1)&lt;&gt;"",INDEX(IHZ_HAZ_UNNUMBER,46,1)&lt;&gt;""),TRUE)</f>
        <v>1</v>
      </c>
      <c r="H1303" t="str">
        <f t="shared" si="40"/>
        <v>Row 46 - If ‘DG classification’ is ‘IMDG’ the ‘IMO Hazard Class’ and ‘UN Number’ is mandatory</v>
      </c>
      <c r="I1303" t="s">
        <v>1391</v>
      </c>
      <c r="J1303" t="b">
        <f>IF(OR(INDEX(OHZ_HAZ_DGCLASSIFI,46,1)="IMDG",),AND(INDEX(OHZ_HAZ_IMOHAZARDC,46,1)&lt;&gt;"",INDEX(OHZ_HAZ_UNNUMBER,46,1)&lt;&gt;""),TRUE)</f>
        <v>1</v>
      </c>
      <c r="K1303" t="str">
        <f t="shared" si="41"/>
        <v>Row 46 - If ‘DG classification’ is ‘IMDG’ the ‘IMO Hazard Class’ and ‘UN Number’ is mandatory</v>
      </c>
    </row>
    <row r="1304" spans="7:11" x14ac:dyDescent="0.25">
      <c r="G1304" t="b">
        <f>IF(OR(INDEX(IHZ_HAZ_DGCLASSIFI,47,1)="IMDG",),AND(INDEX(IHZ_HAZ_IMOHAZARDC,47,1)&lt;&gt;"",INDEX(IHZ_HAZ_UNNUMBER,47,1)&lt;&gt;""),TRUE)</f>
        <v>1</v>
      </c>
      <c r="H1304" t="str">
        <f t="shared" si="40"/>
        <v>Row 47 - If ‘DG classification’ is ‘IMDG’ the ‘IMO Hazard Class’ and ‘UN Number’ is mandatory</v>
      </c>
      <c r="I1304" t="s">
        <v>1391</v>
      </c>
      <c r="J1304" t="b">
        <f>IF(OR(INDEX(OHZ_HAZ_DGCLASSIFI,47,1)="IMDG",),AND(INDEX(OHZ_HAZ_IMOHAZARDC,47,1)&lt;&gt;"",INDEX(OHZ_HAZ_UNNUMBER,47,1)&lt;&gt;""),TRUE)</f>
        <v>1</v>
      </c>
      <c r="K1304" t="str">
        <f t="shared" si="41"/>
        <v>Row 47 - If ‘DG classification’ is ‘IMDG’ the ‘IMO Hazard Class’ and ‘UN Number’ is mandatory</v>
      </c>
    </row>
    <row r="1305" spans="7:11" x14ac:dyDescent="0.25">
      <c r="G1305" t="b">
        <f>IF(OR(INDEX(IHZ_HAZ_DGCLASSIFI,48,1)="IMDG",),AND(INDEX(IHZ_HAZ_IMOHAZARDC,48,1)&lt;&gt;"",INDEX(IHZ_HAZ_UNNUMBER,48,1)&lt;&gt;""),TRUE)</f>
        <v>1</v>
      </c>
      <c r="H1305" t="str">
        <f t="shared" si="40"/>
        <v>Row 48 - If ‘DG classification’ is ‘IMDG’ the ‘IMO Hazard Class’ and ‘UN Number’ is mandatory</v>
      </c>
      <c r="I1305" t="s">
        <v>1391</v>
      </c>
      <c r="J1305" t="b">
        <f>IF(OR(INDEX(OHZ_HAZ_DGCLASSIFI,48,1)="IMDG",),AND(INDEX(OHZ_HAZ_IMOHAZARDC,48,1)&lt;&gt;"",INDEX(OHZ_HAZ_UNNUMBER,48,1)&lt;&gt;""),TRUE)</f>
        <v>1</v>
      </c>
      <c r="K1305" t="str">
        <f t="shared" si="41"/>
        <v>Row 48 - If ‘DG classification’ is ‘IMDG’ the ‘IMO Hazard Class’ and ‘UN Number’ is mandatory</v>
      </c>
    </row>
    <row r="1306" spans="7:11" x14ac:dyDescent="0.25">
      <c r="G1306" t="b">
        <f>IF(OR(INDEX(IHZ_HAZ_DGCLASSIFI,49,1)="IMDG",),AND(INDEX(IHZ_HAZ_IMOHAZARDC,49,1)&lt;&gt;"",INDEX(IHZ_HAZ_UNNUMBER,49,1)&lt;&gt;""),TRUE)</f>
        <v>1</v>
      </c>
      <c r="H1306" t="str">
        <f t="shared" si="40"/>
        <v>Row 49 - If ‘DG classification’ is ‘IMDG’ the ‘IMO Hazard Class’ and ‘UN Number’ is mandatory</v>
      </c>
      <c r="I1306" t="s">
        <v>1391</v>
      </c>
      <c r="J1306" t="b">
        <f>IF(OR(INDEX(OHZ_HAZ_DGCLASSIFI,49,1)="IMDG",),AND(INDEX(OHZ_HAZ_IMOHAZARDC,49,1)&lt;&gt;"",INDEX(OHZ_HAZ_UNNUMBER,49,1)&lt;&gt;""),TRUE)</f>
        <v>1</v>
      </c>
      <c r="K1306" t="str">
        <f t="shared" si="41"/>
        <v>Row 49 - If ‘DG classification’ is ‘IMDG’ the ‘IMO Hazard Class’ and ‘UN Number’ is mandatory</v>
      </c>
    </row>
    <row r="1307" spans="7:11" x14ac:dyDescent="0.25">
      <c r="G1307" t="b">
        <f>IF(OR(INDEX(IHZ_HAZ_DGCLASSIFI,50,1)="IMDG",),AND(INDEX(IHZ_HAZ_IMOHAZARDC,50,1)&lt;&gt;"",INDEX(IHZ_HAZ_UNNUMBER,50,1)&lt;&gt;""),TRUE)</f>
        <v>1</v>
      </c>
      <c r="H1307" t="str">
        <f t="shared" si="40"/>
        <v>Row 50 - If ‘DG classification’ is ‘IMDG’ the ‘IMO Hazard Class’ and ‘UN Number’ is mandatory</v>
      </c>
      <c r="I1307" t="s">
        <v>1391</v>
      </c>
      <c r="J1307" t="b">
        <f>IF(OR(INDEX(OHZ_HAZ_DGCLASSIFI,50,1)="IMDG",),AND(INDEX(OHZ_HAZ_IMOHAZARDC,50,1)&lt;&gt;"",INDEX(OHZ_HAZ_UNNUMBER,50,1)&lt;&gt;""),TRUE)</f>
        <v>1</v>
      </c>
      <c r="K1307" t="str">
        <f t="shared" si="41"/>
        <v>Row 50 - If ‘DG classification’ is ‘IMDG’ the ‘IMO Hazard Class’ and ‘UN Number’ is mandatory</v>
      </c>
    </row>
    <row r="1308" spans="7:11" x14ac:dyDescent="0.25">
      <c r="G1308" t="b">
        <f>IF(OR(INDEX(IHZ_HAZ_DGCLASSIFI,51,1)="IMDG",),AND(INDEX(IHZ_HAZ_IMOHAZARDC,51,1)&lt;&gt;"",INDEX(IHZ_HAZ_UNNUMBER,51,1)&lt;&gt;""),TRUE)</f>
        <v>1</v>
      </c>
      <c r="H1308" t="str">
        <f t="shared" si="40"/>
        <v>Row 51 - If ‘DG classification’ is ‘IMDG’ the ‘IMO Hazard Class’ and ‘UN Number’ is mandatory</v>
      </c>
      <c r="I1308" t="s">
        <v>1391</v>
      </c>
      <c r="J1308" t="b">
        <f>IF(OR(INDEX(OHZ_HAZ_DGCLASSIFI,51,1)="IMDG",),AND(INDEX(OHZ_HAZ_IMOHAZARDC,51,1)&lt;&gt;"",INDEX(OHZ_HAZ_UNNUMBER,51,1)&lt;&gt;""),TRUE)</f>
        <v>1</v>
      </c>
      <c r="K1308" t="str">
        <f t="shared" si="41"/>
        <v>Row 51 - If ‘DG classification’ is ‘IMDG’ the ‘IMO Hazard Class’ and ‘UN Number’ is mandatory</v>
      </c>
    </row>
    <row r="1309" spans="7:11" x14ac:dyDescent="0.25">
      <c r="G1309" t="b">
        <f>IF(OR(INDEX(IHZ_HAZ_DGCLASSIFI,52,1)="IMDG",),AND(INDEX(IHZ_HAZ_IMOHAZARDC,52,1)&lt;&gt;"",INDEX(IHZ_HAZ_UNNUMBER,52,1)&lt;&gt;""),TRUE)</f>
        <v>1</v>
      </c>
      <c r="H1309" t="str">
        <f t="shared" si="40"/>
        <v>Row 52 - If ‘DG classification’ is ‘IMDG’ the ‘IMO Hazard Class’ and ‘UN Number’ is mandatory</v>
      </c>
      <c r="I1309" t="s">
        <v>1391</v>
      </c>
      <c r="J1309" t="b">
        <f>IF(OR(INDEX(OHZ_HAZ_DGCLASSIFI,52,1)="IMDG",),AND(INDEX(OHZ_HAZ_IMOHAZARDC,52,1)&lt;&gt;"",INDEX(OHZ_HAZ_UNNUMBER,52,1)&lt;&gt;""),TRUE)</f>
        <v>1</v>
      </c>
      <c r="K1309" t="str">
        <f t="shared" si="41"/>
        <v>Row 52 - If ‘DG classification’ is ‘IMDG’ the ‘IMO Hazard Class’ and ‘UN Number’ is mandatory</v>
      </c>
    </row>
    <row r="1310" spans="7:11" x14ac:dyDescent="0.25">
      <c r="G1310" t="b">
        <f>IF(OR(INDEX(IHZ_HAZ_DGCLASSIFI,53,1)="IMDG",),AND(INDEX(IHZ_HAZ_IMOHAZARDC,53,1)&lt;&gt;"",INDEX(IHZ_HAZ_UNNUMBER,53,1)&lt;&gt;""),TRUE)</f>
        <v>1</v>
      </c>
      <c r="H1310" t="str">
        <f t="shared" si="40"/>
        <v>Row 53 - If ‘DG classification’ is ‘IMDG’ the ‘IMO Hazard Class’ and ‘UN Number’ is mandatory</v>
      </c>
      <c r="I1310" t="s">
        <v>1391</v>
      </c>
      <c r="J1310" t="b">
        <f>IF(OR(INDEX(OHZ_HAZ_DGCLASSIFI,53,1)="IMDG",),AND(INDEX(OHZ_HAZ_IMOHAZARDC,53,1)&lt;&gt;"",INDEX(OHZ_HAZ_UNNUMBER,53,1)&lt;&gt;""),TRUE)</f>
        <v>1</v>
      </c>
      <c r="K1310" t="str">
        <f t="shared" si="41"/>
        <v>Row 53 - If ‘DG classification’ is ‘IMDG’ the ‘IMO Hazard Class’ and ‘UN Number’ is mandatory</v>
      </c>
    </row>
    <row r="1311" spans="7:11" x14ac:dyDescent="0.25">
      <c r="G1311" t="b">
        <f>IF(OR(INDEX(IHZ_HAZ_DGCLASSIFI,54,1)="IMDG",),AND(INDEX(IHZ_HAZ_IMOHAZARDC,54,1)&lt;&gt;"",INDEX(IHZ_HAZ_UNNUMBER,54,1)&lt;&gt;""),TRUE)</f>
        <v>1</v>
      </c>
      <c r="H1311" t="str">
        <f t="shared" si="40"/>
        <v>Row 54 - If ‘DG classification’ is ‘IMDG’ the ‘IMO Hazard Class’ and ‘UN Number’ is mandatory</v>
      </c>
      <c r="I1311" t="s">
        <v>1391</v>
      </c>
      <c r="J1311" t="b">
        <f>IF(OR(INDEX(OHZ_HAZ_DGCLASSIFI,54,1)="IMDG",),AND(INDEX(OHZ_HAZ_IMOHAZARDC,54,1)&lt;&gt;"",INDEX(OHZ_HAZ_UNNUMBER,54,1)&lt;&gt;""),TRUE)</f>
        <v>1</v>
      </c>
      <c r="K1311" t="str">
        <f t="shared" si="41"/>
        <v>Row 54 - If ‘DG classification’ is ‘IMDG’ the ‘IMO Hazard Class’ and ‘UN Number’ is mandatory</v>
      </c>
    </row>
    <row r="1312" spans="7:11" x14ac:dyDescent="0.25">
      <c r="G1312" t="b">
        <f>IF(OR(INDEX(IHZ_HAZ_DGCLASSIFI,55,1)="IMDG",),AND(INDEX(IHZ_HAZ_IMOHAZARDC,55,1)&lt;&gt;"",INDEX(IHZ_HAZ_UNNUMBER,55,1)&lt;&gt;""),TRUE)</f>
        <v>1</v>
      </c>
      <c r="H1312" t="str">
        <f t="shared" si="40"/>
        <v>Row 55 - If ‘DG classification’ is ‘IMDG’ the ‘IMO Hazard Class’ and ‘UN Number’ is mandatory</v>
      </c>
      <c r="I1312" t="s">
        <v>1391</v>
      </c>
      <c r="J1312" t="b">
        <f>IF(OR(INDEX(OHZ_HAZ_DGCLASSIFI,55,1)="IMDG",),AND(INDEX(OHZ_HAZ_IMOHAZARDC,55,1)&lt;&gt;"",INDEX(OHZ_HAZ_UNNUMBER,55,1)&lt;&gt;""),TRUE)</f>
        <v>1</v>
      </c>
      <c r="K1312" t="str">
        <f t="shared" si="41"/>
        <v>Row 55 - If ‘DG classification’ is ‘IMDG’ the ‘IMO Hazard Class’ and ‘UN Number’ is mandatory</v>
      </c>
    </row>
    <row r="1313" spans="7:11" x14ac:dyDescent="0.25">
      <c r="G1313" t="b">
        <f>IF(OR(INDEX(IHZ_HAZ_DGCLASSIFI,56,1)="IMDG",),AND(INDEX(IHZ_HAZ_IMOHAZARDC,56,1)&lt;&gt;"",INDEX(IHZ_HAZ_UNNUMBER,56,1)&lt;&gt;""),TRUE)</f>
        <v>1</v>
      </c>
      <c r="H1313" t="str">
        <f t="shared" si="40"/>
        <v>Row 56 - If ‘DG classification’ is ‘IMDG’ the ‘IMO Hazard Class’ and ‘UN Number’ is mandatory</v>
      </c>
      <c r="I1313" t="s">
        <v>1391</v>
      </c>
      <c r="J1313" t="b">
        <f>IF(OR(INDEX(OHZ_HAZ_DGCLASSIFI,56,1)="IMDG",),AND(INDEX(OHZ_HAZ_IMOHAZARDC,56,1)&lt;&gt;"",INDEX(OHZ_HAZ_UNNUMBER,56,1)&lt;&gt;""),TRUE)</f>
        <v>1</v>
      </c>
      <c r="K1313" t="str">
        <f t="shared" si="41"/>
        <v>Row 56 - If ‘DG classification’ is ‘IMDG’ the ‘IMO Hazard Class’ and ‘UN Number’ is mandatory</v>
      </c>
    </row>
    <row r="1314" spans="7:11" x14ac:dyDescent="0.25">
      <c r="G1314" t="b">
        <f>IF(OR(INDEX(IHZ_HAZ_DGCLASSIFI,57,1)="IMDG",),AND(INDEX(IHZ_HAZ_IMOHAZARDC,57,1)&lt;&gt;"",INDEX(IHZ_HAZ_UNNUMBER,57,1)&lt;&gt;""),TRUE)</f>
        <v>1</v>
      </c>
      <c r="H1314" t="str">
        <f t="shared" si="40"/>
        <v>Row 57 - If ‘DG classification’ is ‘IMDG’ the ‘IMO Hazard Class’ and ‘UN Number’ is mandatory</v>
      </c>
      <c r="I1314" t="s">
        <v>1391</v>
      </c>
      <c r="J1314" t="b">
        <f>IF(OR(INDEX(OHZ_HAZ_DGCLASSIFI,57,1)="IMDG",),AND(INDEX(OHZ_HAZ_IMOHAZARDC,57,1)&lt;&gt;"",INDEX(OHZ_HAZ_UNNUMBER,57,1)&lt;&gt;""),TRUE)</f>
        <v>1</v>
      </c>
      <c r="K1314" t="str">
        <f t="shared" si="41"/>
        <v>Row 57 - If ‘DG classification’ is ‘IMDG’ the ‘IMO Hazard Class’ and ‘UN Number’ is mandatory</v>
      </c>
    </row>
    <row r="1315" spans="7:11" x14ac:dyDescent="0.25">
      <c r="G1315" t="b">
        <f>IF(OR(INDEX(IHZ_HAZ_DGCLASSIFI,58,1)="IMDG",),AND(INDEX(IHZ_HAZ_IMOHAZARDC,58,1)&lt;&gt;"",INDEX(IHZ_HAZ_UNNUMBER,58,1)&lt;&gt;""),TRUE)</f>
        <v>1</v>
      </c>
      <c r="H1315" t="str">
        <f t="shared" si="40"/>
        <v>Row 58 - If ‘DG classification’ is ‘IMDG’ the ‘IMO Hazard Class’ and ‘UN Number’ is mandatory</v>
      </c>
      <c r="I1315" t="s">
        <v>1391</v>
      </c>
      <c r="J1315" t="b">
        <f>IF(OR(INDEX(OHZ_HAZ_DGCLASSIFI,58,1)="IMDG",),AND(INDEX(OHZ_HAZ_IMOHAZARDC,58,1)&lt;&gt;"",INDEX(OHZ_HAZ_UNNUMBER,58,1)&lt;&gt;""),TRUE)</f>
        <v>1</v>
      </c>
      <c r="K1315" t="str">
        <f t="shared" si="41"/>
        <v>Row 58 - If ‘DG classification’ is ‘IMDG’ the ‘IMO Hazard Class’ and ‘UN Number’ is mandatory</v>
      </c>
    </row>
    <row r="1316" spans="7:11" x14ac:dyDescent="0.25">
      <c r="G1316" t="b">
        <f>IF(OR(INDEX(IHZ_HAZ_DGCLASSIFI,59,1)="IMDG",),AND(INDEX(IHZ_HAZ_IMOHAZARDC,59,1)&lt;&gt;"",INDEX(IHZ_HAZ_UNNUMBER,59,1)&lt;&gt;""),TRUE)</f>
        <v>1</v>
      </c>
      <c r="H1316" t="str">
        <f t="shared" si="40"/>
        <v>Row 59 - If ‘DG classification’ is ‘IMDG’ the ‘IMO Hazard Class’ and ‘UN Number’ is mandatory</v>
      </c>
      <c r="I1316" t="s">
        <v>1391</v>
      </c>
      <c r="J1316" t="b">
        <f>IF(OR(INDEX(OHZ_HAZ_DGCLASSIFI,59,1)="IMDG",),AND(INDEX(OHZ_HAZ_IMOHAZARDC,59,1)&lt;&gt;"",INDEX(OHZ_HAZ_UNNUMBER,59,1)&lt;&gt;""),TRUE)</f>
        <v>1</v>
      </c>
      <c r="K1316" t="str">
        <f t="shared" si="41"/>
        <v>Row 59 - If ‘DG classification’ is ‘IMDG’ the ‘IMO Hazard Class’ and ‘UN Number’ is mandatory</v>
      </c>
    </row>
    <row r="1317" spans="7:11" x14ac:dyDescent="0.25">
      <c r="G1317" t="b">
        <f>IF(OR(INDEX(IHZ_HAZ_DGCLASSIFI,60,1)="IMDG",),AND(INDEX(IHZ_HAZ_IMOHAZARDC,60,1)&lt;&gt;"",INDEX(IHZ_HAZ_UNNUMBER,60,1)&lt;&gt;""),TRUE)</f>
        <v>1</v>
      </c>
      <c r="H1317" t="str">
        <f t="shared" si="40"/>
        <v>Row 60 - If ‘DG classification’ is ‘IMDG’ the ‘IMO Hazard Class’ and ‘UN Number’ is mandatory</v>
      </c>
      <c r="I1317" t="s">
        <v>1391</v>
      </c>
      <c r="J1317" t="b">
        <f>IF(OR(INDEX(OHZ_HAZ_DGCLASSIFI,60,1)="IMDG",),AND(INDEX(OHZ_HAZ_IMOHAZARDC,60,1)&lt;&gt;"",INDEX(OHZ_HAZ_UNNUMBER,60,1)&lt;&gt;""),TRUE)</f>
        <v>1</v>
      </c>
      <c r="K1317" t="str">
        <f t="shared" si="41"/>
        <v>Row 60 - If ‘DG classification’ is ‘IMDG’ the ‘IMO Hazard Class’ and ‘UN Number’ is mandatory</v>
      </c>
    </row>
    <row r="1318" spans="7:11" x14ac:dyDescent="0.25">
      <c r="G1318" t="b">
        <f>IF(OR(INDEX(IHZ_HAZ_DGCLASSIFI,61,1)="IMDG",),AND(INDEX(IHZ_HAZ_IMOHAZARDC,61,1)&lt;&gt;"",INDEX(IHZ_HAZ_UNNUMBER,61,1)&lt;&gt;""),TRUE)</f>
        <v>1</v>
      </c>
      <c r="H1318" t="str">
        <f t="shared" si="40"/>
        <v>Row 61 - If ‘DG classification’ is ‘IMDG’ the ‘IMO Hazard Class’ and ‘UN Number’ is mandatory</v>
      </c>
      <c r="I1318" t="s">
        <v>1391</v>
      </c>
      <c r="J1318" t="b">
        <f>IF(OR(INDEX(OHZ_HAZ_DGCLASSIFI,61,1)="IMDG",),AND(INDEX(OHZ_HAZ_IMOHAZARDC,61,1)&lt;&gt;"",INDEX(OHZ_HAZ_UNNUMBER,61,1)&lt;&gt;""),TRUE)</f>
        <v>1</v>
      </c>
      <c r="K1318" t="str">
        <f t="shared" si="41"/>
        <v>Row 61 - If ‘DG classification’ is ‘IMDG’ the ‘IMO Hazard Class’ and ‘UN Number’ is mandatory</v>
      </c>
    </row>
    <row r="1319" spans="7:11" x14ac:dyDescent="0.25">
      <c r="G1319" t="b">
        <f>IF(OR(INDEX(IHZ_HAZ_DGCLASSIFI,62,1)="IMDG",),AND(INDEX(IHZ_HAZ_IMOHAZARDC,62,1)&lt;&gt;"",INDEX(IHZ_HAZ_UNNUMBER,62,1)&lt;&gt;""),TRUE)</f>
        <v>1</v>
      </c>
      <c r="H1319" t="str">
        <f t="shared" si="40"/>
        <v>Row 62 - If ‘DG classification’ is ‘IMDG’ the ‘IMO Hazard Class’ and ‘UN Number’ is mandatory</v>
      </c>
      <c r="I1319" t="s">
        <v>1391</v>
      </c>
      <c r="J1319" t="b">
        <f>IF(OR(INDEX(OHZ_HAZ_DGCLASSIFI,62,1)="IMDG",),AND(INDEX(OHZ_HAZ_IMOHAZARDC,62,1)&lt;&gt;"",INDEX(OHZ_HAZ_UNNUMBER,62,1)&lt;&gt;""),TRUE)</f>
        <v>1</v>
      </c>
      <c r="K1319" t="str">
        <f t="shared" si="41"/>
        <v>Row 62 - If ‘DG classification’ is ‘IMDG’ the ‘IMO Hazard Class’ and ‘UN Number’ is mandatory</v>
      </c>
    </row>
    <row r="1320" spans="7:11" x14ac:dyDescent="0.25">
      <c r="G1320" t="b">
        <f>IF(OR(INDEX(IHZ_HAZ_DGCLASSIFI,63,1)="IMDG",),AND(INDEX(IHZ_HAZ_IMOHAZARDC,63,1)&lt;&gt;"",INDEX(IHZ_HAZ_UNNUMBER,63,1)&lt;&gt;""),TRUE)</f>
        <v>1</v>
      </c>
      <c r="H1320" t="str">
        <f t="shared" si="40"/>
        <v>Row 63 - If ‘DG classification’ is ‘IMDG’ the ‘IMO Hazard Class’ and ‘UN Number’ is mandatory</v>
      </c>
      <c r="I1320" t="s">
        <v>1391</v>
      </c>
      <c r="J1320" t="b">
        <f>IF(OR(INDEX(OHZ_HAZ_DGCLASSIFI,63,1)="IMDG",),AND(INDEX(OHZ_HAZ_IMOHAZARDC,63,1)&lt;&gt;"",INDEX(OHZ_HAZ_UNNUMBER,63,1)&lt;&gt;""),TRUE)</f>
        <v>1</v>
      </c>
      <c r="K1320" t="str">
        <f t="shared" si="41"/>
        <v>Row 63 - If ‘DG classification’ is ‘IMDG’ the ‘IMO Hazard Class’ and ‘UN Number’ is mandatory</v>
      </c>
    </row>
    <row r="1321" spans="7:11" x14ac:dyDescent="0.25">
      <c r="G1321" t="b">
        <f>IF(OR(INDEX(IHZ_HAZ_DGCLASSIFI,64,1)="IMDG",),AND(INDEX(IHZ_HAZ_IMOHAZARDC,64,1)&lt;&gt;"",INDEX(IHZ_HAZ_UNNUMBER,64,1)&lt;&gt;""),TRUE)</f>
        <v>1</v>
      </c>
      <c r="H1321" t="str">
        <f t="shared" si="40"/>
        <v>Row 64 - If ‘DG classification’ is ‘IMDG’ the ‘IMO Hazard Class’ and ‘UN Number’ is mandatory</v>
      </c>
      <c r="I1321" t="s">
        <v>1391</v>
      </c>
      <c r="J1321" t="b">
        <f>IF(OR(INDEX(OHZ_HAZ_DGCLASSIFI,64,1)="IMDG",),AND(INDEX(OHZ_HAZ_IMOHAZARDC,64,1)&lt;&gt;"",INDEX(OHZ_HAZ_UNNUMBER,64,1)&lt;&gt;""),TRUE)</f>
        <v>1</v>
      </c>
      <c r="K1321" t="str">
        <f t="shared" si="41"/>
        <v>Row 64 - If ‘DG classification’ is ‘IMDG’ the ‘IMO Hazard Class’ and ‘UN Number’ is mandatory</v>
      </c>
    </row>
    <row r="1322" spans="7:11" x14ac:dyDescent="0.25">
      <c r="G1322" t="b">
        <f>IF(OR(INDEX(IHZ_HAZ_DGCLASSIFI,65,1)="IMDG",),AND(INDEX(IHZ_HAZ_IMOHAZARDC,65,1)&lt;&gt;"",INDEX(IHZ_HAZ_UNNUMBER,65,1)&lt;&gt;""),TRUE)</f>
        <v>1</v>
      </c>
      <c r="H1322" t="str">
        <f t="shared" si="40"/>
        <v>Row 65 - If ‘DG classification’ is ‘IMDG’ the ‘IMO Hazard Class’ and ‘UN Number’ is mandatory</v>
      </c>
      <c r="I1322" t="s">
        <v>1391</v>
      </c>
      <c r="J1322" t="b">
        <f>IF(OR(INDEX(OHZ_HAZ_DGCLASSIFI,65,1)="IMDG",),AND(INDEX(OHZ_HAZ_IMOHAZARDC,65,1)&lt;&gt;"",INDEX(OHZ_HAZ_UNNUMBER,65,1)&lt;&gt;""),TRUE)</f>
        <v>1</v>
      </c>
      <c r="K1322" t="str">
        <f t="shared" si="41"/>
        <v>Row 65 - If ‘DG classification’ is ‘IMDG’ the ‘IMO Hazard Class’ and ‘UN Number’ is mandatory</v>
      </c>
    </row>
    <row r="1323" spans="7:11" x14ac:dyDescent="0.25">
      <c r="G1323" t="b">
        <f>IF(OR(INDEX(IHZ_HAZ_DGCLASSIFI,66,1)="IMDG",),AND(INDEX(IHZ_HAZ_IMOHAZARDC,66,1)&lt;&gt;"",INDEX(IHZ_HAZ_UNNUMBER,66,1)&lt;&gt;""),TRUE)</f>
        <v>1</v>
      </c>
      <c r="H1323" t="str">
        <f t="shared" ref="H1323:H1386" si="42">T66&amp;$V$6</f>
        <v>Row 66 - If ‘DG classification’ is ‘IMDG’ the ‘IMO Hazard Class’ and ‘UN Number’ is mandatory</v>
      </c>
      <c r="I1323" t="s">
        <v>1391</v>
      </c>
      <c r="J1323" t="b">
        <f>IF(OR(INDEX(OHZ_HAZ_DGCLASSIFI,66,1)="IMDG",),AND(INDEX(OHZ_HAZ_IMOHAZARDC,66,1)&lt;&gt;"",INDEX(OHZ_HAZ_UNNUMBER,66,1)&lt;&gt;""),TRUE)</f>
        <v>1</v>
      </c>
      <c r="K1323" t="str">
        <f t="shared" ref="K1323:K1386" si="43">T66&amp;$V$6</f>
        <v>Row 66 - If ‘DG classification’ is ‘IMDG’ the ‘IMO Hazard Class’ and ‘UN Number’ is mandatory</v>
      </c>
    </row>
    <row r="1324" spans="7:11" x14ac:dyDescent="0.25">
      <c r="G1324" t="b">
        <f>IF(OR(INDEX(IHZ_HAZ_DGCLASSIFI,67,1)="IMDG",),AND(INDEX(IHZ_HAZ_IMOHAZARDC,67,1)&lt;&gt;"",INDEX(IHZ_HAZ_UNNUMBER,67,1)&lt;&gt;""),TRUE)</f>
        <v>1</v>
      </c>
      <c r="H1324" t="str">
        <f t="shared" si="42"/>
        <v>Row 67 - If ‘DG classification’ is ‘IMDG’ the ‘IMO Hazard Class’ and ‘UN Number’ is mandatory</v>
      </c>
      <c r="I1324" t="s">
        <v>1391</v>
      </c>
      <c r="J1324" t="b">
        <f>IF(OR(INDEX(OHZ_HAZ_DGCLASSIFI,67,1)="IMDG",),AND(INDEX(OHZ_HAZ_IMOHAZARDC,67,1)&lt;&gt;"",INDEX(OHZ_HAZ_UNNUMBER,67,1)&lt;&gt;""),TRUE)</f>
        <v>1</v>
      </c>
      <c r="K1324" t="str">
        <f t="shared" si="43"/>
        <v>Row 67 - If ‘DG classification’ is ‘IMDG’ the ‘IMO Hazard Class’ and ‘UN Number’ is mandatory</v>
      </c>
    </row>
    <row r="1325" spans="7:11" x14ac:dyDescent="0.25">
      <c r="G1325" t="b">
        <f>IF(OR(INDEX(IHZ_HAZ_DGCLASSIFI,68,1)="IMDG",),AND(INDEX(IHZ_HAZ_IMOHAZARDC,68,1)&lt;&gt;"",INDEX(IHZ_HAZ_UNNUMBER,68,1)&lt;&gt;""),TRUE)</f>
        <v>1</v>
      </c>
      <c r="H1325" t="str">
        <f t="shared" si="42"/>
        <v>Row 68 - If ‘DG classification’ is ‘IMDG’ the ‘IMO Hazard Class’ and ‘UN Number’ is mandatory</v>
      </c>
      <c r="I1325" t="s">
        <v>1391</v>
      </c>
      <c r="J1325" t="b">
        <f>IF(OR(INDEX(OHZ_HAZ_DGCLASSIFI,68,1)="IMDG",),AND(INDEX(OHZ_HAZ_IMOHAZARDC,68,1)&lt;&gt;"",INDEX(OHZ_HAZ_UNNUMBER,68,1)&lt;&gt;""),TRUE)</f>
        <v>1</v>
      </c>
      <c r="K1325" t="str">
        <f t="shared" si="43"/>
        <v>Row 68 - If ‘DG classification’ is ‘IMDG’ the ‘IMO Hazard Class’ and ‘UN Number’ is mandatory</v>
      </c>
    </row>
    <row r="1326" spans="7:11" x14ac:dyDescent="0.25">
      <c r="G1326" t="b">
        <f>IF(OR(INDEX(IHZ_HAZ_DGCLASSIFI,69,1)="IMDG",),AND(INDEX(IHZ_HAZ_IMOHAZARDC,69,1)&lt;&gt;"",INDEX(IHZ_HAZ_UNNUMBER,69,1)&lt;&gt;""),TRUE)</f>
        <v>1</v>
      </c>
      <c r="H1326" t="str">
        <f t="shared" si="42"/>
        <v>Row 69 - If ‘DG classification’ is ‘IMDG’ the ‘IMO Hazard Class’ and ‘UN Number’ is mandatory</v>
      </c>
      <c r="I1326" t="s">
        <v>1391</v>
      </c>
      <c r="J1326" t="b">
        <f>IF(OR(INDEX(OHZ_HAZ_DGCLASSIFI,69,1)="IMDG",),AND(INDEX(OHZ_HAZ_IMOHAZARDC,69,1)&lt;&gt;"",INDEX(OHZ_HAZ_UNNUMBER,69,1)&lt;&gt;""),TRUE)</f>
        <v>1</v>
      </c>
      <c r="K1326" t="str">
        <f t="shared" si="43"/>
        <v>Row 69 - If ‘DG classification’ is ‘IMDG’ the ‘IMO Hazard Class’ and ‘UN Number’ is mandatory</v>
      </c>
    </row>
    <row r="1327" spans="7:11" x14ac:dyDescent="0.25">
      <c r="G1327" t="b">
        <f>IF(OR(INDEX(IHZ_HAZ_DGCLASSIFI,70,1)="IMDG",),AND(INDEX(IHZ_HAZ_IMOHAZARDC,70,1)&lt;&gt;"",INDEX(IHZ_HAZ_UNNUMBER,70,1)&lt;&gt;""),TRUE)</f>
        <v>1</v>
      </c>
      <c r="H1327" t="str">
        <f t="shared" si="42"/>
        <v>Row 70 - If ‘DG classification’ is ‘IMDG’ the ‘IMO Hazard Class’ and ‘UN Number’ is mandatory</v>
      </c>
      <c r="I1327" t="s">
        <v>1391</v>
      </c>
      <c r="J1327" t="b">
        <f>IF(OR(INDEX(OHZ_HAZ_DGCLASSIFI,70,1)="IMDG",),AND(INDEX(OHZ_HAZ_IMOHAZARDC,70,1)&lt;&gt;"",INDEX(OHZ_HAZ_UNNUMBER,70,1)&lt;&gt;""),TRUE)</f>
        <v>1</v>
      </c>
      <c r="K1327" t="str">
        <f t="shared" si="43"/>
        <v>Row 70 - If ‘DG classification’ is ‘IMDG’ the ‘IMO Hazard Class’ and ‘UN Number’ is mandatory</v>
      </c>
    </row>
    <row r="1328" spans="7:11" x14ac:dyDescent="0.25">
      <c r="G1328" t="b">
        <f>IF(OR(INDEX(IHZ_HAZ_DGCLASSIFI,71,1)="IMDG",),AND(INDEX(IHZ_HAZ_IMOHAZARDC,71,1)&lt;&gt;"",INDEX(IHZ_HAZ_UNNUMBER,71,1)&lt;&gt;""),TRUE)</f>
        <v>1</v>
      </c>
      <c r="H1328" t="str">
        <f t="shared" si="42"/>
        <v>Row 71 - If ‘DG classification’ is ‘IMDG’ the ‘IMO Hazard Class’ and ‘UN Number’ is mandatory</v>
      </c>
      <c r="I1328" t="s">
        <v>1391</v>
      </c>
      <c r="J1328" t="b">
        <f>IF(OR(INDEX(OHZ_HAZ_DGCLASSIFI,71,1)="IMDG",),AND(INDEX(OHZ_HAZ_IMOHAZARDC,71,1)&lt;&gt;"",INDEX(OHZ_HAZ_UNNUMBER,71,1)&lt;&gt;""),TRUE)</f>
        <v>1</v>
      </c>
      <c r="K1328" t="str">
        <f t="shared" si="43"/>
        <v>Row 71 - If ‘DG classification’ is ‘IMDG’ the ‘IMO Hazard Class’ and ‘UN Number’ is mandatory</v>
      </c>
    </row>
    <row r="1329" spans="7:11" x14ac:dyDescent="0.25">
      <c r="G1329" t="b">
        <f>IF(OR(INDEX(IHZ_HAZ_DGCLASSIFI,72,1)="IMDG",),AND(INDEX(IHZ_HAZ_IMOHAZARDC,72,1)&lt;&gt;"",INDEX(IHZ_HAZ_UNNUMBER,72,1)&lt;&gt;""),TRUE)</f>
        <v>1</v>
      </c>
      <c r="H1329" t="str">
        <f t="shared" si="42"/>
        <v>Row 72 - If ‘DG classification’ is ‘IMDG’ the ‘IMO Hazard Class’ and ‘UN Number’ is mandatory</v>
      </c>
      <c r="I1329" t="s">
        <v>1391</v>
      </c>
      <c r="J1329" t="b">
        <f>IF(OR(INDEX(OHZ_HAZ_DGCLASSIFI,72,1)="IMDG",),AND(INDEX(OHZ_HAZ_IMOHAZARDC,72,1)&lt;&gt;"",INDEX(OHZ_HAZ_UNNUMBER,72,1)&lt;&gt;""),TRUE)</f>
        <v>1</v>
      </c>
      <c r="K1329" t="str">
        <f t="shared" si="43"/>
        <v>Row 72 - If ‘DG classification’ is ‘IMDG’ the ‘IMO Hazard Class’ and ‘UN Number’ is mandatory</v>
      </c>
    </row>
    <row r="1330" spans="7:11" x14ac:dyDescent="0.25">
      <c r="G1330" t="b">
        <f>IF(OR(INDEX(IHZ_HAZ_DGCLASSIFI,73,1)="IMDG",),AND(INDEX(IHZ_HAZ_IMOHAZARDC,73,1)&lt;&gt;"",INDEX(IHZ_HAZ_UNNUMBER,73,1)&lt;&gt;""),TRUE)</f>
        <v>1</v>
      </c>
      <c r="H1330" t="str">
        <f t="shared" si="42"/>
        <v>Row 73 - If ‘DG classification’ is ‘IMDG’ the ‘IMO Hazard Class’ and ‘UN Number’ is mandatory</v>
      </c>
      <c r="I1330" t="s">
        <v>1391</v>
      </c>
      <c r="J1330" t="b">
        <f>IF(OR(INDEX(OHZ_HAZ_DGCLASSIFI,73,1)="IMDG",),AND(INDEX(OHZ_HAZ_IMOHAZARDC,73,1)&lt;&gt;"",INDEX(OHZ_HAZ_UNNUMBER,73,1)&lt;&gt;""),TRUE)</f>
        <v>1</v>
      </c>
      <c r="K1330" t="str">
        <f t="shared" si="43"/>
        <v>Row 73 - If ‘DG classification’ is ‘IMDG’ the ‘IMO Hazard Class’ and ‘UN Number’ is mandatory</v>
      </c>
    </row>
    <row r="1331" spans="7:11" x14ac:dyDescent="0.25">
      <c r="G1331" t="b">
        <f>IF(OR(INDEX(IHZ_HAZ_DGCLASSIFI,74,1)="IMDG",),AND(INDEX(IHZ_HAZ_IMOHAZARDC,74,1)&lt;&gt;"",INDEX(IHZ_HAZ_UNNUMBER,74,1)&lt;&gt;""),TRUE)</f>
        <v>1</v>
      </c>
      <c r="H1331" t="str">
        <f t="shared" si="42"/>
        <v>Row 74 - If ‘DG classification’ is ‘IMDG’ the ‘IMO Hazard Class’ and ‘UN Number’ is mandatory</v>
      </c>
      <c r="I1331" t="s">
        <v>1391</v>
      </c>
      <c r="J1331" t="b">
        <f>IF(OR(INDEX(OHZ_HAZ_DGCLASSIFI,74,1)="IMDG",),AND(INDEX(OHZ_HAZ_IMOHAZARDC,74,1)&lt;&gt;"",INDEX(OHZ_HAZ_UNNUMBER,74,1)&lt;&gt;""),TRUE)</f>
        <v>1</v>
      </c>
      <c r="K1331" t="str">
        <f t="shared" si="43"/>
        <v>Row 74 - If ‘DG classification’ is ‘IMDG’ the ‘IMO Hazard Class’ and ‘UN Number’ is mandatory</v>
      </c>
    </row>
    <row r="1332" spans="7:11" x14ac:dyDescent="0.25">
      <c r="G1332" t="b">
        <f>IF(OR(INDEX(IHZ_HAZ_DGCLASSIFI,75,1)="IMDG",),AND(INDEX(IHZ_HAZ_IMOHAZARDC,75,1)&lt;&gt;"",INDEX(IHZ_HAZ_UNNUMBER,75,1)&lt;&gt;""),TRUE)</f>
        <v>1</v>
      </c>
      <c r="H1332" t="str">
        <f t="shared" si="42"/>
        <v>Row 75 - If ‘DG classification’ is ‘IMDG’ the ‘IMO Hazard Class’ and ‘UN Number’ is mandatory</v>
      </c>
      <c r="I1332" t="s">
        <v>1391</v>
      </c>
      <c r="J1332" t="b">
        <f>IF(OR(INDEX(OHZ_HAZ_DGCLASSIFI,75,1)="IMDG",),AND(INDEX(OHZ_HAZ_IMOHAZARDC,75,1)&lt;&gt;"",INDEX(OHZ_HAZ_UNNUMBER,75,1)&lt;&gt;""),TRUE)</f>
        <v>1</v>
      </c>
      <c r="K1332" t="str">
        <f t="shared" si="43"/>
        <v>Row 75 - If ‘DG classification’ is ‘IMDG’ the ‘IMO Hazard Class’ and ‘UN Number’ is mandatory</v>
      </c>
    </row>
    <row r="1333" spans="7:11" x14ac:dyDescent="0.25">
      <c r="G1333" t="b">
        <f>IF(OR(INDEX(IHZ_HAZ_DGCLASSIFI,76,1)="IMDG",),AND(INDEX(IHZ_HAZ_IMOHAZARDC,76,1)&lt;&gt;"",INDEX(IHZ_HAZ_UNNUMBER,76,1)&lt;&gt;""),TRUE)</f>
        <v>1</v>
      </c>
      <c r="H1333" t="str">
        <f t="shared" si="42"/>
        <v>Row 76 - If ‘DG classification’ is ‘IMDG’ the ‘IMO Hazard Class’ and ‘UN Number’ is mandatory</v>
      </c>
      <c r="I1333" t="s">
        <v>1391</v>
      </c>
      <c r="J1333" t="b">
        <f>IF(OR(INDEX(OHZ_HAZ_DGCLASSIFI,76,1)="IMDG",),AND(INDEX(OHZ_HAZ_IMOHAZARDC,76,1)&lt;&gt;"",INDEX(OHZ_HAZ_UNNUMBER,76,1)&lt;&gt;""),TRUE)</f>
        <v>1</v>
      </c>
      <c r="K1333" t="str">
        <f t="shared" si="43"/>
        <v>Row 76 - If ‘DG classification’ is ‘IMDG’ the ‘IMO Hazard Class’ and ‘UN Number’ is mandatory</v>
      </c>
    </row>
    <row r="1334" spans="7:11" x14ac:dyDescent="0.25">
      <c r="G1334" t="b">
        <f>IF(OR(INDEX(IHZ_HAZ_DGCLASSIFI,77,1)="IMDG",),AND(INDEX(IHZ_HAZ_IMOHAZARDC,77,1)&lt;&gt;"",INDEX(IHZ_HAZ_UNNUMBER,77,1)&lt;&gt;""),TRUE)</f>
        <v>1</v>
      </c>
      <c r="H1334" t="str">
        <f t="shared" si="42"/>
        <v>Row 77 - If ‘DG classification’ is ‘IMDG’ the ‘IMO Hazard Class’ and ‘UN Number’ is mandatory</v>
      </c>
      <c r="I1334" t="s">
        <v>1391</v>
      </c>
      <c r="J1334" t="b">
        <f>IF(OR(INDEX(OHZ_HAZ_DGCLASSIFI,77,1)="IMDG",),AND(INDEX(OHZ_HAZ_IMOHAZARDC,77,1)&lt;&gt;"",INDEX(OHZ_HAZ_UNNUMBER,77,1)&lt;&gt;""),TRUE)</f>
        <v>1</v>
      </c>
      <c r="K1334" t="str">
        <f t="shared" si="43"/>
        <v>Row 77 - If ‘DG classification’ is ‘IMDG’ the ‘IMO Hazard Class’ and ‘UN Number’ is mandatory</v>
      </c>
    </row>
    <row r="1335" spans="7:11" x14ac:dyDescent="0.25">
      <c r="G1335" t="b">
        <f>IF(OR(INDEX(IHZ_HAZ_DGCLASSIFI,78,1)="IMDG",),AND(INDEX(IHZ_HAZ_IMOHAZARDC,78,1)&lt;&gt;"",INDEX(IHZ_HAZ_UNNUMBER,78,1)&lt;&gt;""),TRUE)</f>
        <v>1</v>
      </c>
      <c r="H1335" t="str">
        <f t="shared" si="42"/>
        <v>Row 78 - If ‘DG classification’ is ‘IMDG’ the ‘IMO Hazard Class’ and ‘UN Number’ is mandatory</v>
      </c>
      <c r="I1335" t="s">
        <v>1391</v>
      </c>
      <c r="J1335" t="b">
        <f>IF(OR(INDEX(OHZ_HAZ_DGCLASSIFI,78,1)="IMDG",),AND(INDEX(OHZ_HAZ_IMOHAZARDC,78,1)&lt;&gt;"",INDEX(OHZ_HAZ_UNNUMBER,78,1)&lt;&gt;""),TRUE)</f>
        <v>1</v>
      </c>
      <c r="K1335" t="str">
        <f t="shared" si="43"/>
        <v>Row 78 - If ‘DG classification’ is ‘IMDG’ the ‘IMO Hazard Class’ and ‘UN Number’ is mandatory</v>
      </c>
    </row>
    <row r="1336" spans="7:11" x14ac:dyDescent="0.25">
      <c r="G1336" t="b">
        <f>IF(OR(INDEX(IHZ_HAZ_DGCLASSIFI,79,1)="IMDG",),AND(INDEX(IHZ_HAZ_IMOHAZARDC,79,1)&lt;&gt;"",INDEX(IHZ_HAZ_UNNUMBER,79,1)&lt;&gt;""),TRUE)</f>
        <v>1</v>
      </c>
      <c r="H1336" t="str">
        <f t="shared" si="42"/>
        <v>Row 79 - If ‘DG classification’ is ‘IMDG’ the ‘IMO Hazard Class’ and ‘UN Number’ is mandatory</v>
      </c>
      <c r="I1336" t="s">
        <v>1391</v>
      </c>
      <c r="J1336" t="b">
        <f>IF(OR(INDEX(OHZ_HAZ_DGCLASSIFI,79,1)="IMDG",),AND(INDEX(OHZ_HAZ_IMOHAZARDC,79,1)&lt;&gt;"",INDEX(OHZ_HAZ_UNNUMBER,79,1)&lt;&gt;""),TRUE)</f>
        <v>1</v>
      </c>
      <c r="K1336" t="str">
        <f t="shared" si="43"/>
        <v>Row 79 - If ‘DG classification’ is ‘IMDG’ the ‘IMO Hazard Class’ and ‘UN Number’ is mandatory</v>
      </c>
    </row>
    <row r="1337" spans="7:11" x14ac:dyDescent="0.25">
      <c r="G1337" t="b">
        <f>IF(OR(INDEX(IHZ_HAZ_DGCLASSIFI,80,1)="IMDG",),AND(INDEX(IHZ_HAZ_IMOHAZARDC,80,1)&lt;&gt;"",INDEX(IHZ_HAZ_UNNUMBER,80,1)&lt;&gt;""),TRUE)</f>
        <v>1</v>
      </c>
      <c r="H1337" t="str">
        <f t="shared" si="42"/>
        <v>Row 80 - If ‘DG classification’ is ‘IMDG’ the ‘IMO Hazard Class’ and ‘UN Number’ is mandatory</v>
      </c>
      <c r="I1337" t="s">
        <v>1391</v>
      </c>
      <c r="J1337" t="b">
        <f>IF(OR(INDEX(OHZ_HAZ_DGCLASSIFI,80,1)="IMDG",),AND(INDEX(OHZ_HAZ_IMOHAZARDC,80,1)&lt;&gt;"",INDEX(OHZ_HAZ_UNNUMBER,80,1)&lt;&gt;""),TRUE)</f>
        <v>1</v>
      </c>
      <c r="K1337" t="str">
        <f t="shared" si="43"/>
        <v>Row 80 - If ‘DG classification’ is ‘IMDG’ the ‘IMO Hazard Class’ and ‘UN Number’ is mandatory</v>
      </c>
    </row>
    <row r="1338" spans="7:11" x14ac:dyDescent="0.25">
      <c r="G1338" t="b">
        <f>IF(OR(INDEX(IHZ_HAZ_DGCLASSIFI,81,1)="IMDG",),AND(INDEX(IHZ_HAZ_IMOHAZARDC,81,1)&lt;&gt;"",INDEX(IHZ_HAZ_UNNUMBER,81,1)&lt;&gt;""),TRUE)</f>
        <v>1</v>
      </c>
      <c r="H1338" t="str">
        <f t="shared" si="42"/>
        <v>Row 81 - If ‘DG classification’ is ‘IMDG’ the ‘IMO Hazard Class’ and ‘UN Number’ is mandatory</v>
      </c>
      <c r="I1338" t="s">
        <v>1391</v>
      </c>
      <c r="J1338" t="b">
        <f>IF(OR(INDEX(OHZ_HAZ_DGCLASSIFI,81,1)="IMDG",),AND(INDEX(OHZ_HAZ_IMOHAZARDC,81,1)&lt;&gt;"",INDEX(OHZ_HAZ_UNNUMBER,81,1)&lt;&gt;""),TRUE)</f>
        <v>1</v>
      </c>
      <c r="K1338" t="str">
        <f t="shared" si="43"/>
        <v>Row 81 - If ‘DG classification’ is ‘IMDG’ the ‘IMO Hazard Class’ and ‘UN Number’ is mandatory</v>
      </c>
    </row>
    <row r="1339" spans="7:11" x14ac:dyDescent="0.25">
      <c r="G1339" t="b">
        <f>IF(OR(INDEX(IHZ_HAZ_DGCLASSIFI,82,1)="IMDG",),AND(INDEX(IHZ_HAZ_IMOHAZARDC,82,1)&lt;&gt;"",INDEX(IHZ_HAZ_UNNUMBER,82,1)&lt;&gt;""),TRUE)</f>
        <v>1</v>
      </c>
      <c r="H1339" t="str">
        <f t="shared" si="42"/>
        <v>Row 82 - If ‘DG classification’ is ‘IMDG’ the ‘IMO Hazard Class’ and ‘UN Number’ is mandatory</v>
      </c>
      <c r="I1339" t="s">
        <v>1391</v>
      </c>
      <c r="J1339" t="b">
        <f>IF(OR(INDEX(OHZ_HAZ_DGCLASSIFI,82,1)="IMDG",),AND(INDEX(OHZ_HAZ_IMOHAZARDC,82,1)&lt;&gt;"",INDEX(OHZ_HAZ_UNNUMBER,82,1)&lt;&gt;""),TRUE)</f>
        <v>1</v>
      </c>
      <c r="K1339" t="str">
        <f t="shared" si="43"/>
        <v>Row 82 - If ‘DG classification’ is ‘IMDG’ the ‘IMO Hazard Class’ and ‘UN Number’ is mandatory</v>
      </c>
    </row>
    <row r="1340" spans="7:11" x14ac:dyDescent="0.25">
      <c r="G1340" t="b">
        <f>IF(OR(INDEX(IHZ_HAZ_DGCLASSIFI,83,1)="IMDG",),AND(INDEX(IHZ_HAZ_IMOHAZARDC,83,1)&lt;&gt;"",INDEX(IHZ_HAZ_UNNUMBER,83,1)&lt;&gt;""),TRUE)</f>
        <v>1</v>
      </c>
      <c r="H1340" t="str">
        <f t="shared" si="42"/>
        <v>Row 83 - If ‘DG classification’ is ‘IMDG’ the ‘IMO Hazard Class’ and ‘UN Number’ is mandatory</v>
      </c>
      <c r="I1340" t="s">
        <v>1391</v>
      </c>
      <c r="J1340" t="b">
        <f>IF(OR(INDEX(OHZ_HAZ_DGCLASSIFI,83,1)="IMDG",),AND(INDEX(OHZ_HAZ_IMOHAZARDC,83,1)&lt;&gt;"",INDEX(OHZ_HAZ_UNNUMBER,83,1)&lt;&gt;""),TRUE)</f>
        <v>1</v>
      </c>
      <c r="K1340" t="str">
        <f t="shared" si="43"/>
        <v>Row 83 - If ‘DG classification’ is ‘IMDG’ the ‘IMO Hazard Class’ and ‘UN Number’ is mandatory</v>
      </c>
    </row>
    <row r="1341" spans="7:11" x14ac:dyDescent="0.25">
      <c r="G1341" t="b">
        <f>IF(OR(INDEX(IHZ_HAZ_DGCLASSIFI,84,1)="IMDG",),AND(INDEX(IHZ_HAZ_IMOHAZARDC,84,1)&lt;&gt;"",INDEX(IHZ_HAZ_UNNUMBER,84,1)&lt;&gt;""),TRUE)</f>
        <v>1</v>
      </c>
      <c r="H1341" t="str">
        <f t="shared" si="42"/>
        <v>Row 84 - If ‘DG classification’ is ‘IMDG’ the ‘IMO Hazard Class’ and ‘UN Number’ is mandatory</v>
      </c>
      <c r="I1341" t="s">
        <v>1391</v>
      </c>
      <c r="J1341" t="b">
        <f>IF(OR(INDEX(OHZ_HAZ_DGCLASSIFI,84,1)="IMDG",),AND(INDEX(OHZ_HAZ_IMOHAZARDC,84,1)&lt;&gt;"",INDEX(OHZ_HAZ_UNNUMBER,84,1)&lt;&gt;""),TRUE)</f>
        <v>1</v>
      </c>
      <c r="K1341" t="str">
        <f t="shared" si="43"/>
        <v>Row 84 - If ‘DG classification’ is ‘IMDG’ the ‘IMO Hazard Class’ and ‘UN Number’ is mandatory</v>
      </c>
    </row>
    <row r="1342" spans="7:11" x14ac:dyDescent="0.25">
      <c r="G1342" t="b">
        <f>IF(OR(INDEX(IHZ_HAZ_DGCLASSIFI,85,1)="IMDG",),AND(INDEX(IHZ_HAZ_IMOHAZARDC,85,1)&lt;&gt;"",INDEX(IHZ_HAZ_UNNUMBER,85,1)&lt;&gt;""),TRUE)</f>
        <v>1</v>
      </c>
      <c r="H1342" t="str">
        <f t="shared" si="42"/>
        <v>Row 85 - If ‘DG classification’ is ‘IMDG’ the ‘IMO Hazard Class’ and ‘UN Number’ is mandatory</v>
      </c>
      <c r="I1342" t="s">
        <v>1391</v>
      </c>
      <c r="J1342" t="b">
        <f>IF(OR(INDEX(OHZ_HAZ_DGCLASSIFI,85,1)="IMDG",),AND(INDEX(OHZ_HAZ_IMOHAZARDC,85,1)&lt;&gt;"",INDEX(OHZ_HAZ_UNNUMBER,85,1)&lt;&gt;""),TRUE)</f>
        <v>1</v>
      </c>
      <c r="K1342" t="str">
        <f t="shared" si="43"/>
        <v>Row 85 - If ‘DG classification’ is ‘IMDG’ the ‘IMO Hazard Class’ and ‘UN Number’ is mandatory</v>
      </c>
    </row>
    <row r="1343" spans="7:11" x14ac:dyDescent="0.25">
      <c r="G1343" t="b">
        <f>IF(OR(INDEX(IHZ_HAZ_DGCLASSIFI,86,1)="IMDG",),AND(INDEX(IHZ_HAZ_IMOHAZARDC,86,1)&lt;&gt;"",INDEX(IHZ_HAZ_UNNUMBER,86,1)&lt;&gt;""),TRUE)</f>
        <v>1</v>
      </c>
      <c r="H1343" t="str">
        <f t="shared" si="42"/>
        <v>Row 86 - If ‘DG classification’ is ‘IMDG’ the ‘IMO Hazard Class’ and ‘UN Number’ is mandatory</v>
      </c>
      <c r="I1343" t="s">
        <v>1391</v>
      </c>
      <c r="J1343" t="b">
        <f>IF(OR(INDEX(OHZ_HAZ_DGCLASSIFI,86,1)="IMDG",),AND(INDEX(OHZ_HAZ_IMOHAZARDC,86,1)&lt;&gt;"",INDEX(OHZ_HAZ_UNNUMBER,86,1)&lt;&gt;""),TRUE)</f>
        <v>1</v>
      </c>
      <c r="K1343" t="str">
        <f t="shared" si="43"/>
        <v>Row 86 - If ‘DG classification’ is ‘IMDG’ the ‘IMO Hazard Class’ and ‘UN Number’ is mandatory</v>
      </c>
    </row>
    <row r="1344" spans="7:11" x14ac:dyDescent="0.25">
      <c r="G1344" t="b">
        <f>IF(OR(INDEX(IHZ_HAZ_DGCLASSIFI,87,1)="IMDG",),AND(INDEX(IHZ_HAZ_IMOHAZARDC,87,1)&lt;&gt;"",INDEX(IHZ_HAZ_UNNUMBER,87,1)&lt;&gt;""),TRUE)</f>
        <v>1</v>
      </c>
      <c r="H1344" t="str">
        <f t="shared" si="42"/>
        <v>Row 87 - If ‘DG classification’ is ‘IMDG’ the ‘IMO Hazard Class’ and ‘UN Number’ is mandatory</v>
      </c>
      <c r="I1344" t="s">
        <v>1391</v>
      </c>
      <c r="J1344" t="b">
        <f>IF(OR(INDEX(OHZ_HAZ_DGCLASSIFI,87,1)="IMDG",),AND(INDEX(OHZ_HAZ_IMOHAZARDC,87,1)&lt;&gt;"",INDEX(OHZ_HAZ_UNNUMBER,87,1)&lt;&gt;""),TRUE)</f>
        <v>1</v>
      </c>
      <c r="K1344" t="str">
        <f t="shared" si="43"/>
        <v>Row 87 - If ‘DG classification’ is ‘IMDG’ the ‘IMO Hazard Class’ and ‘UN Number’ is mandatory</v>
      </c>
    </row>
    <row r="1345" spans="7:11" x14ac:dyDescent="0.25">
      <c r="G1345" t="b">
        <f>IF(OR(INDEX(IHZ_HAZ_DGCLASSIFI,88,1)="IMDG",),AND(INDEX(IHZ_HAZ_IMOHAZARDC,88,1)&lt;&gt;"",INDEX(IHZ_HAZ_UNNUMBER,88,1)&lt;&gt;""),TRUE)</f>
        <v>1</v>
      </c>
      <c r="H1345" t="str">
        <f t="shared" si="42"/>
        <v>Row 88 - If ‘DG classification’ is ‘IMDG’ the ‘IMO Hazard Class’ and ‘UN Number’ is mandatory</v>
      </c>
      <c r="I1345" t="s">
        <v>1391</v>
      </c>
      <c r="J1345" t="b">
        <f>IF(OR(INDEX(OHZ_HAZ_DGCLASSIFI,88,1)="IMDG",),AND(INDEX(OHZ_HAZ_IMOHAZARDC,88,1)&lt;&gt;"",INDEX(OHZ_HAZ_UNNUMBER,88,1)&lt;&gt;""),TRUE)</f>
        <v>1</v>
      </c>
      <c r="K1345" t="str">
        <f t="shared" si="43"/>
        <v>Row 88 - If ‘DG classification’ is ‘IMDG’ the ‘IMO Hazard Class’ and ‘UN Number’ is mandatory</v>
      </c>
    </row>
    <row r="1346" spans="7:11" x14ac:dyDescent="0.25">
      <c r="G1346" t="b">
        <f>IF(OR(INDEX(IHZ_HAZ_DGCLASSIFI,89,1)="IMDG",),AND(INDEX(IHZ_HAZ_IMOHAZARDC,89,1)&lt;&gt;"",INDEX(IHZ_HAZ_UNNUMBER,89,1)&lt;&gt;""),TRUE)</f>
        <v>1</v>
      </c>
      <c r="H1346" t="str">
        <f t="shared" si="42"/>
        <v>Row 89 - If ‘DG classification’ is ‘IMDG’ the ‘IMO Hazard Class’ and ‘UN Number’ is mandatory</v>
      </c>
      <c r="I1346" t="s">
        <v>1391</v>
      </c>
      <c r="J1346" t="b">
        <f>IF(OR(INDEX(OHZ_HAZ_DGCLASSIFI,89,1)="IMDG",),AND(INDEX(OHZ_HAZ_IMOHAZARDC,89,1)&lt;&gt;"",INDEX(OHZ_HAZ_UNNUMBER,89,1)&lt;&gt;""),TRUE)</f>
        <v>1</v>
      </c>
      <c r="K1346" t="str">
        <f t="shared" si="43"/>
        <v>Row 89 - If ‘DG classification’ is ‘IMDG’ the ‘IMO Hazard Class’ and ‘UN Number’ is mandatory</v>
      </c>
    </row>
    <row r="1347" spans="7:11" x14ac:dyDescent="0.25">
      <c r="G1347" t="b">
        <f>IF(OR(INDEX(IHZ_HAZ_DGCLASSIFI,90,1)="IMDG",),AND(INDEX(IHZ_HAZ_IMOHAZARDC,90,1)&lt;&gt;"",INDEX(IHZ_HAZ_UNNUMBER,90,1)&lt;&gt;""),TRUE)</f>
        <v>1</v>
      </c>
      <c r="H1347" t="str">
        <f t="shared" si="42"/>
        <v>Row 90 - If ‘DG classification’ is ‘IMDG’ the ‘IMO Hazard Class’ and ‘UN Number’ is mandatory</v>
      </c>
      <c r="I1347" t="s">
        <v>1391</v>
      </c>
      <c r="J1347" t="b">
        <f>IF(OR(INDEX(OHZ_HAZ_DGCLASSIFI,90,1)="IMDG",),AND(INDEX(OHZ_HAZ_IMOHAZARDC,90,1)&lt;&gt;"",INDEX(OHZ_HAZ_UNNUMBER,90,1)&lt;&gt;""),TRUE)</f>
        <v>1</v>
      </c>
      <c r="K1347" t="str">
        <f t="shared" si="43"/>
        <v>Row 90 - If ‘DG classification’ is ‘IMDG’ the ‘IMO Hazard Class’ and ‘UN Number’ is mandatory</v>
      </c>
    </row>
    <row r="1348" spans="7:11" x14ac:dyDescent="0.25">
      <c r="G1348" t="b">
        <f>IF(OR(INDEX(IHZ_HAZ_DGCLASSIFI,91,1)="IMDG",),AND(INDEX(IHZ_HAZ_IMOHAZARDC,91,1)&lt;&gt;"",INDEX(IHZ_HAZ_UNNUMBER,91,1)&lt;&gt;""),TRUE)</f>
        <v>1</v>
      </c>
      <c r="H1348" t="str">
        <f t="shared" si="42"/>
        <v>Row 91 - If ‘DG classification’ is ‘IMDG’ the ‘IMO Hazard Class’ and ‘UN Number’ is mandatory</v>
      </c>
      <c r="I1348" t="s">
        <v>1391</v>
      </c>
      <c r="J1348" t="b">
        <f>IF(OR(INDEX(OHZ_HAZ_DGCLASSIFI,91,1)="IMDG",),AND(INDEX(OHZ_HAZ_IMOHAZARDC,91,1)&lt;&gt;"",INDEX(OHZ_HAZ_UNNUMBER,91,1)&lt;&gt;""),TRUE)</f>
        <v>1</v>
      </c>
      <c r="K1348" t="str">
        <f t="shared" si="43"/>
        <v>Row 91 - If ‘DG classification’ is ‘IMDG’ the ‘IMO Hazard Class’ and ‘UN Number’ is mandatory</v>
      </c>
    </row>
    <row r="1349" spans="7:11" x14ac:dyDescent="0.25">
      <c r="G1349" t="b">
        <f>IF(OR(INDEX(IHZ_HAZ_DGCLASSIFI,92,1)="IMDG",),AND(INDEX(IHZ_HAZ_IMOHAZARDC,92,1)&lt;&gt;"",INDEX(IHZ_HAZ_UNNUMBER,92,1)&lt;&gt;""),TRUE)</f>
        <v>1</v>
      </c>
      <c r="H1349" t="str">
        <f t="shared" si="42"/>
        <v>Row 92 - If ‘DG classification’ is ‘IMDG’ the ‘IMO Hazard Class’ and ‘UN Number’ is mandatory</v>
      </c>
      <c r="I1349" t="s">
        <v>1391</v>
      </c>
      <c r="J1349" t="b">
        <f>IF(OR(INDEX(OHZ_HAZ_DGCLASSIFI,92,1)="IMDG",),AND(INDEX(OHZ_HAZ_IMOHAZARDC,92,1)&lt;&gt;"",INDEX(OHZ_HAZ_UNNUMBER,92,1)&lt;&gt;""),TRUE)</f>
        <v>1</v>
      </c>
      <c r="K1349" t="str">
        <f t="shared" si="43"/>
        <v>Row 92 - If ‘DG classification’ is ‘IMDG’ the ‘IMO Hazard Class’ and ‘UN Number’ is mandatory</v>
      </c>
    </row>
    <row r="1350" spans="7:11" x14ac:dyDescent="0.25">
      <c r="G1350" t="b">
        <f>IF(OR(INDEX(IHZ_HAZ_DGCLASSIFI,93,1)="IMDG",),AND(INDEX(IHZ_HAZ_IMOHAZARDC,93,1)&lt;&gt;"",INDEX(IHZ_HAZ_UNNUMBER,93,1)&lt;&gt;""),TRUE)</f>
        <v>1</v>
      </c>
      <c r="H1350" t="str">
        <f t="shared" si="42"/>
        <v>Row 93 - If ‘DG classification’ is ‘IMDG’ the ‘IMO Hazard Class’ and ‘UN Number’ is mandatory</v>
      </c>
      <c r="I1350" t="s">
        <v>1391</v>
      </c>
      <c r="J1350" t="b">
        <f>IF(OR(INDEX(OHZ_HAZ_DGCLASSIFI,93,1)="IMDG",),AND(INDEX(OHZ_HAZ_IMOHAZARDC,93,1)&lt;&gt;"",INDEX(OHZ_HAZ_UNNUMBER,93,1)&lt;&gt;""),TRUE)</f>
        <v>1</v>
      </c>
      <c r="K1350" t="str">
        <f t="shared" si="43"/>
        <v>Row 93 - If ‘DG classification’ is ‘IMDG’ the ‘IMO Hazard Class’ and ‘UN Number’ is mandatory</v>
      </c>
    </row>
    <row r="1351" spans="7:11" x14ac:dyDescent="0.25">
      <c r="G1351" t="b">
        <f>IF(OR(INDEX(IHZ_HAZ_DGCLASSIFI,94,1)="IMDG",),AND(INDEX(IHZ_HAZ_IMOHAZARDC,94,1)&lt;&gt;"",INDEX(IHZ_HAZ_UNNUMBER,94,1)&lt;&gt;""),TRUE)</f>
        <v>1</v>
      </c>
      <c r="H1351" t="str">
        <f t="shared" si="42"/>
        <v>Row 94 - If ‘DG classification’ is ‘IMDG’ the ‘IMO Hazard Class’ and ‘UN Number’ is mandatory</v>
      </c>
      <c r="I1351" t="s">
        <v>1391</v>
      </c>
      <c r="J1351" t="b">
        <f>IF(OR(INDEX(OHZ_HAZ_DGCLASSIFI,94,1)="IMDG",),AND(INDEX(OHZ_HAZ_IMOHAZARDC,94,1)&lt;&gt;"",INDEX(OHZ_HAZ_UNNUMBER,94,1)&lt;&gt;""),TRUE)</f>
        <v>1</v>
      </c>
      <c r="K1351" t="str">
        <f t="shared" si="43"/>
        <v>Row 94 - If ‘DG classification’ is ‘IMDG’ the ‘IMO Hazard Class’ and ‘UN Number’ is mandatory</v>
      </c>
    </row>
    <row r="1352" spans="7:11" x14ac:dyDescent="0.25">
      <c r="G1352" t="b">
        <f>IF(OR(INDEX(IHZ_HAZ_DGCLASSIFI,95,1)="IMDG",),AND(INDEX(IHZ_HAZ_IMOHAZARDC,95,1)&lt;&gt;"",INDEX(IHZ_HAZ_UNNUMBER,95,1)&lt;&gt;""),TRUE)</f>
        <v>1</v>
      </c>
      <c r="H1352" t="str">
        <f t="shared" si="42"/>
        <v>Row 95 - If ‘DG classification’ is ‘IMDG’ the ‘IMO Hazard Class’ and ‘UN Number’ is mandatory</v>
      </c>
      <c r="I1352" t="s">
        <v>1391</v>
      </c>
      <c r="J1352" t="b">
        <f>IF(OR(INDEX(OHZ_HAZ_DGCLASSIFI,95,1)="IMDG",),AND(INDEX(OHZ_HAZ_IMOHAZARDC,95,1)&lt;&gt;"",INDEX(OHZ_HAZ_UNNUMBER,95,1)&lt;&gt;""),TRUE)</f>
        <v>1</v>
      </c>
      <c r="K1352" t="str">
        <f t="shared" si="43"/>
        <v>Row 95 - If ‘DG classification’ is ‘IMDG’ the ‘IMO Hazard Class’ and ‘UN Number’ is mandatory</v>
      </c>
    </row>
    <row r="1353" spans="7:11" x14ac:dyDescent="0.25">
      <c r="G1353" t="b">
        <f>IF(OR(INDEX(IHZ_HAZ_DGCLASSIFI,96,1)="IMDG",),AND(INDEX(IHZ_HAZ_IMOHAZARDC,96,1)&lt;&gt;"",INDEX(IHZ_HAZ_UNNUMBER,96,1)&lt;&gt;""),TRUE)</f>
        <v>1</v>
      </c>
      <c r="H1353" t="str">
        <f t="shared" si="42"/>
        <v>Row 96 - If ‘DG classification’ is ‘IMDG’ the ‘IMO Hazard Class’ and ‘UN Number’ is mandatory</v>
      </c>
      <c r="I1353" t="s">
        <v>1391</v>
      </c>
      <c r="J1353" t="b">
        <f>IF(OR(INDEX(OHZ_HAZ_DGCLASSIFI,96,1)="IMDG",),AND(INDEX(OHZ_HAZ_IMOHAZARDC,96,1)&lt;&gt;"",INDEX(OHZ_HAZ_UNNUMBER,96,1)&lt;&gt;""),TRUE)</f>
        <v>1</v>
      </c>
      <c r="K1353" t="str">
        <f t="shared" si="43"/>
        <v>Row 96 - If ‘DG classification’ is ‘IMDG’ the ‘IMO Hazard Class’ and ‘UN Number’ is mandatory</v>
      </c>
    </row>
    <row r="1354" spans="7:11" x14ac:dyDescent="0.25">
      <c r="G1354" t="b">
        <f>IF(OR(INDEX(IHZ_HAZ_DGCLASSIFI,97,1)="IMDG",),AND(INDEX(IHZ_HAZ_IMOHAZARDC,97,1)&lt;&gt;"",INDEX(IHZ_HAZ_UNNUMBER,97,1)&lt;&gt;""),TRUE)</f>
        <v>1</v>
      </c>
      <c r="H1354" t="str">
        <f t="shared" si="42"/>
        <v>Row 97 - If ‘DG classification’ is ‘IMDG’ the ‘IMO Hazard Class’ and ‘UN Number’ is mandatory</v>
      </c>
      <c r="I1354" t="s">
        <v>1391</v>
      </c>
      <c r="J1354" t="b">
        <f>IF(OR(INDEX(OHZ_HAZ_DGCLASSIFI,97,1)="IMDG",),AND(INDEX(OHZ_HAZ_IMOHAZARDC,97,1)&lt;&gt;"",INDEX(OHZ_HAZ_UNNUMBER,97,1)&lt;&gt;""),TRUE)</f>
        <v>1</v>
      </c>
      <c r="K1354" t="str">
        <f t="shared" si="43"/>
        <v>Row 97 - If ‘DG classification’ is ‘IMDG’ the ‘IMO Hazard Class’ and ‘UN Number’ is mandatory</v>
      </c>
    </row>
    <row r="1355" spans="7:11" x14ac:dyDescent="0.25">
      <c r="G1355" t="b">
        <f>IF(OR(INDEX(IHZ_HAZ_DGCLASSIFI,98,1)="IMDG",),AND(INDEX(IHZ_HAZ_IMOHAZARDC,98,1)&lt;&gt;"",INDEX(IHZ_HAZ_UNNUMBER,98,1)&lt;&gt;""),TRUE)</f>
        <v>1</v>
      </c>
      <c r="H1355" t="str">
        <f t="shared" si="42"/>
        <v>Row 98 - If ‘DG classification’ is ‘IMDG’ the ‘IMO Hazard Class’ and ‘UN Number’ is mandatory</v>
      </c>
      <c r="I1355" t="s">
        <v>1391</v>
      </c>
      <c r="J1355" t="b">
        <f>IF(OR(INDEX(OHZ_HAZ_DGCLASSIFI,98,1)="IMDG",),AND(INDEX(OHZ_HAZ_IMOHAZARDC,98,1)&lt;&gt;"",INDEX(OHZ_HAZ_UNNUMBER,98,1)&lt;&gt;""),TRUE)</f>
        <v>1</v>
      </c>
      <c r="K1355" t="str">
        <f t="shared" si="43"/>
        <v>Row 98 - If ‘DG classification’ is ‘IMDG’ the ‘IMO Hazard Class’ and ‘UN Number’ is mandatory</v>
      </c>
    </row>
    <row r="1356" spans="7:11" x14ac:dyDescent="0.25">
      <c r="G1356" t="b">
        <f>IF(OR(INDEX(IHZ_HAZ_DGCLASSIFI,99,1)="IMDG",),AND(INDEX(IHZ_HAZ_IMOHAZARDC,99,1)&lt;&gt;"",INDEX(IHZ_HAZ_UNNUMBER,99,1)&lt;&gt;""),TRUE)</f>
        <v>1</v>
      </c>
      <c r="H1356" t="str">
        <f t="shared" si="42"/>
        <v>Row 99 - If ‘DG classification’ is ‘IMDG’ the ‘IMO Hazard Class’ and ‘UN Number’ is mandatory</v>
      </c>
      <c r="I1356" t="s">
        <v>1391</v>
      </c>
      <c r="J1356" t="b">
        <f>IF(OR(INDEX(OHZ_HAZ_DGCLASSIFI,99,1)="IMDG",),AND(INDEX(OHZ_HAZ_IMOHAZARDC,99,1)&lt;&gt;"",INDEX(OHZ_HAZ_UNNUMBER,99,1)&lt;&gt;""),TRUE)</f>
        <v>1</v>
      </c>
      <c r="K1356" t="str">
        <f t="shared" si="43"/>
        <v>Row 99 - If ‘DG classification’ is ‘IMDG’ the ‘IMO Hazard Class’ and ‘UN Number’ is mandatory</v>
      </c>
    </row>
    <row r="1357" spans="7:11" x14ac:dyDescent="0.25">
      <c r="G1357" t="b">
        <f>IF(OR(INDEX(IHZ_HAZ_DGCLASSIFI,100,1)="IMDG",),AND(INDEX(IHZ_HAZ_IMOHAZARDC,100,1)&lt;&gt;"",INDEX(IHZ_HAZ_UNNUMBER,100,1)&lt;&gt;""),TRUE)</f>
        <v>1</v>
      </c>
      <c r="H1357" t="str">
        <f t="shared" si="42"/>
        <v>Row 100 - If ‘DG classification’ is ‘IMDG’ the ‘IMO Hazard Class’ and ‘UN Number’ is mandatory</v>
      </c>
      <c r="I1357" t="s">
        <v>1391</v>
      </c>
      <c r="J1357" t="b">
        <f>IF(OR(INDEX(OHZ_HAZ_DGCLASSIFI,100,1)="IMDG",),AND(INDEX(OHZ_HAZ_IMOHAZARDC,100,1)&lt;&gt;"",INDEX(OHZ_HAZ_UNNUMBER,100,1)&lt;&gt;""),TRUE)</f>
        <v>1</v>
      </c>
      <c r="K1357" t="str">
        <f t="shared" si="43"/>
        <v>Row 100 - If ‘DG classification’ is ‘IMDG’ the ‘IMO Hazard Class’ and ‘UN Number’ is mandatory</v>
      </c>
    </row>
    <row r="1358" spans="7:11" x14ac:dyDescent="0.25">
      <c r="G1358" t="b">
        <f>IF(OR(INDEX(IHZ_HAZ_DGCLASSIFI,101,1)="IMDG",),AND(INDEX(IHZ_HAZ_IMOHAZARDC,101,1)&lt;&gt;"",INDEX(IHZ_HAZ_UNNUMBER,101,1)&lt;&gt;""),TRUE)</f>
        <v>1</v>
      </c>
      <c r="H1358" t="str">
        <f t="shared" si="42"/>
        <v>Row 101 - If ‘DG classification’ is ‘IMDG’ the ‘IMO Hazard Class’ and ‘UN Number’ is mandatory</v>
      </c>
      <c r="I1358" t="s">
        <v>1391</v>
      </c>
      <c r="J1358" t="b">
        <f>IF(OR(INDEX(OHZ_HAZ_DGCLASSIFI,101,1)="IMDG",),AND(INDEX(OHZ_HAZ_IMOHAZARDC,101,1)&lt;&gt;"",INDEX(OHZ_HAZ_UNNUMBER,101,1)&lt;&gt;""),TRUE)</f>
        <v>1</v>
      </c>
      <c r="K1358" t="str">
        <f t="shared" si="43"/>
        <v>Row 101 - If ‘DG classification’ is ‘IMDG’ the ‘IMO Hazard Class’ and ‘UN Number’ is mandatory</v>
      </c>
    </row>
    <row r="1359" spans="7:11" x14ac:dyDescent="0.25">
      <c r="G1359" t="b">
        <f>IF(OR(INDEX(IHZ_HAZ_DGCLASSIFI,102,1)="IMDG",),AND(INDEX(IHZ_HAZ_IMOHAZARDC,102,1)&lt;&gt;"",INDEX(IHZ_HAZ_UNNUMBER,102,1)&lt;&gt;""),TRUE)</f>
        <v>1</v>
      </c>
      <c r="H1359" t="str">
        <f t="shared" si="42"/>
        <v>Row 102 - If ‘DG classification’ is ‘IMDG’ the ‘IMO Hazard Class’ and ‘UN Number’ is mandatory</v>
      </c>
      <c r="I1359" t="s">
        <v>1391</v>
      </c>
      <c r="J1359" t="b">
        <f>IF(OR(INDEX(OHZ_HAZ_DGCLASSIFI,102,1)="IMDG",),AND(INDEX(OHZ_HAZ_IMOHAZARDC,102,1)&lt;&gt;"",INDEX(OHZ_HAZ_UNNUMBER,102,1)&lt;&gt;""),TRUE)</f>
        <v>1</v>
      </c>
      <c r="K1359" t="str">
        <f t="shared" si="43"/>
        <v>Row 102 - If ‘DG classification’ is ‘IMDG’ the ‘IMO Hazard Class’ and ‘UN Number’ is mandatory</v>
      </c>
    </row>
    <row r="1360" spans="7:11" x14ac:dyDescent="0.25">
      <c r="G1360" t="b">
        <f>IF(OR(INDEX(IHZ_HAZ_DGCLASSIFI,103,1)="IMDG",),AND(INDEX(IHZ_HAZ_IMOHAZARDC,103,1)&lt;&gt;"",INDEX(IHZ_HAZ_UNNUMBER,103,1)&lt;&gt;""),TRUE)</f>
        <v>1</v>
      </c>
      <c r="H1360" t="str">
        <f t="shared" si="42"/>
        <v>Row 103 - If ‘DG classification’ is ‘IMDG’ the ‘IMO Hazard Class’ and ‘UN Number’ is mandatory</v>
      </c>
      <c r="I1360" t="s">
        <v>1391</v>
      </c>
      <c r="J1360" t="b">
        <f>IF(OR(INDEX(OHZ_HAZ_DGCLASSIFI,103,1)="IMDG",),AND(INDEX(OHZ_HAZ_IMOHAZARDC,103,1)&lt;&gt;"",INDEX(OHZ_HAZ_UNNUMBER,103,1)&lt;&gt;""),TRUE)</f>
        <v>1</v>
      </c>
      <c r="K1360" t="str">
        <f t="shared" si="43"/>
        <v>Row 103 - If ‘DG classification’ is ‘IMDG’ the ‘IMO Hazard Class’ and ‘UN Number’ is mandatory</v>
      </c>
    </row>
    <row r="1361" spans="7:11" x14ac:dyDescent="0.25">
      <c r="G1361" t="b">
        <f>IF(OR(INDEX(IHZ_HAZ_DGCLASSIFI,104,1)="IMDG",),AND(INDEX(IHZ_HAZ_IMOHAZARDC,104,1)&lt;&gt;"",INDEX(IHZ_HAZ_UNNUMBER,104,1)&lt;&gt;""),TRUE)</f>
        <v>1</v>
      </c>
      <c r="H1361" t="str">
        <f t="shared" si="42"/>
        <v>Row 104 - If ‘DG classification’ is ‘IMDG’ the ‘IMO Hazard Class’ and ‘UN Number’ is mandatory</v>
      </c>
      <c r="I1361" t="s">
        <v>1391</v>
      </c>
      <c r="J1361" t="b">
        <f>IF(OR(INDEX(OHZ_HAZ_DGCLASSIFI,104,1)="IMDG",),AND(INDEX(OHZ_HAZ_IMOHAZARDC,104,1)&lt;&gt;"",INDEX(OHZ_HAZ_UNNUMBER,104,1)&lt;&gt;""),TRUE)</f>
        <v>1</v>
      </c>
      <c r="K1361" t="str">
        <f t="shared" si="43"/>
        <v>Row 104 - If ‘DG classification’ is ‘IMDG’ the ‘IMO Hazard Class’ and ‘UN Number’ is mandatory</v>
      </c>
    </row>
    <row r="1362" spans="7:11" x14ac:dyDescent="0.25">
      <c r="G1362" t="b">
        <f>IF(OR(INDEX(IHZ_HAZ_DGCLASSIFI,105,1)="IMDG",),AND(INDEX(IHZ_HAZ_IMOHAZARDC,105,1)&lt;&gt;"",INDEX(IHZ_HAZ_UNNUMBER,105,1)&lt;&gt;""),TRUE)</f>
        <v>1</v>
      </c>
      <c r="H1362" t="str">
        <f t="shared" si="42"/>
        <v>Row 105 - If ‘DG classification’ is ‘IMDG’ the ‘IMO Hazard Class’ and ‘UN Number’ is mandatory</v>
      </c>
      <c r="I1362" t="s">
        <v>1391</v>
      </c>
      <c r="J1362" t="b">
        <f>IF(OR(INDEX(OHZ_HAZ_DGCLASSIFI,105,1)="IMDG",),AND(INDEX(OHZ_HAZ_IMOHAZARDC,105,1)&lt;&gt;"",INDEX(OHZ_HAZ_UNNUMBER,105,1)&lt;&gt;""),TRUE)</f>
        <v>1</v>
      </c>
      <c r="K1362" t="str">
        <f t="shared" si="43"/>
        <v>Row 105 - If ‘DG classification’ is ‘IMDG’ the ‘IMO Hazard Class’ and ‘UN Number’ is mandatory</v>
      </c>
    </row>
    <row r="1363" spans="7:11" x14ac:dyDescent="0.25">
      <c r="G1363" t="b">
        <f>IF(OR(INDEX(IHZ_HAZ_DGCLASSIFI,106,1)="IMDG",),AND(INDEX(IHZ_HAZ_IMOHAZARDC,106,1)&lt;&gt;"",INDEX(IHZ_HAZ_UNNUMBER,106,1)&lt;&gt;""),TRUE)</f>
        <v>1</v>
      </c>
      <c r="H1363" t="str">
        <f t="shared" si="42"/>
        <v>Row 106 - If ‘DG classification’ is ‘IMDG’ the ‘IMO Hazard Class’ and ‘UN Number’ is mandatory</v>
      </c>
      <c r="I1363" t="s">
        <v>1391</v>
      </c>
      <c r="J1363" t="b">
        <f>IF(OR(INDEX(OHZ_HAZ_DGCLASSIFI,106,1)="IMDG",),AND(INDEX(OHZ_HAZ_IMOHAZARDC,106,1)&lt;&gt;"",INDEX(OHZ_HAZ_UNNUMBER,106,1)&lt;&gt;""),TRUE)</f>
        <v>1</v>
      </c>
      <c r="K1363" t="str">
        <f t="shared" si="43"/>
        <v>Row 106 - If ‘DG classification’ is ‘IMDG’ the ‘IMO Hazard Class’ and ‘UN Number’ is mandatory</v>
      </c>
    </row>
    <row r="1364" spans="7:11" x14ac:dyDescent="0.25">
      <c r="G1364" t="b">
        <f>IF(OR(INDEX(IHZ_HAZ_DGCLASSIFI,107,1)="IMDG",),AND(INDEX(IHZ_HAZ_IMOHAZARDC,107,1)&lt;&gt;"",INDEX(IHZ_HAZ_UNNUMBER,107,1)&lt;&gt;""),TRUE)</f>
        <v>1</v>
      </c>
      <c r="H1364" t="str">
        <f t="shared" si="42"/>
        <v>Row 107 - If ‘DG classification’ is ‘IMDG’ the ‘IMO Hazard Class’ and ‘UN Number’ is mandatory</v>
      </c>
      <c r="I1364" t="s">
        <v>1391</v>
      </c>
      <c r="J1364" t="b">
        <f>IF(OR(INDEX(OHZ_HAZ_DGCLASSIFI,107,1)="IMDG",),AND(INDEX(OHZ_HAZ_IMOHAZARDC,107,1)&lt;&gt;"",INDEX(OHZ_HAZ_UNNUMBER,107,1)&lt;&gt;""),TRUE)</f>
        <v>1</v>
      </c>
      <c r="K1364" t="str">
        <f t="shared" si="43"/>
        <v>Row 107 - If ‘DG classification’ is ‘IMDG’ the ‘IMO Hazard Class’ and ‘UN Number’ is mandatory</v>
      </c>
    </row>
    <row r="1365" spans="7:11" x14ac:dyDescent="0.25">
      <c r="G1365" t="b">
        <f>IF(OR(INDEX(IHZ_HAZ_DGCLASSIFI,108,1)="IMDG",),AND(INDEX(IHZ_HAZ_IMOHAZARDC,108,1)&lt;&gt;"",INDEX(IHZ_HAZ_UNNUMBER,108,1)&lt;&gt;""),TRUE)</f>
        <v>1</v>
      </c>
      <c r="H1365" t="str">
        <f t="shared" si="42"/>
        <v>Row 108 - If ‘DG classification’ is ‘IMDG’ the ‘IMO Hazard Class’ and ‘UN Number’ is mandatory</v>
      </c>
      <c r="I1365" t="s">
        <v>1391</v>
      </c>
      <c r="J1365" t="b">
        <f>IF(OR(INDEX(OHZ_HAZ_DGCLASSIFI,108,1)="IMDG",),AND(INDEX(OHZ_HAZ_IMOHAZARDC,108,1)&lt;&gt;"",INDEX(OHZ_HAZ_UNNUMBER,108,1)&lt;&gt;""),TRUE)</f>
        <v>1</v>
      </c>
      <c r="K1365" t="str">
        <f t="shared" si="43"/>
        <v>Row 108 - If ‘DG classification’ is ‘IMDG’ the ‘IMO Hazard Class’ and ‘UN Number’ is mandatory</v>
      </c>
    </row>
    <row r="1366" spans="7:11" x14ac:dyDescent="0.25">
      <c r="G1366" t="b">
        <f>IF(OR(INDEX(IHZ_HAZ_DGCLASSIFI,109,1)="IMDG",),AND(INDEX(IHZ_HAZ_IMOHAZARDC,109,1)&lt;&gt;"",INDEX(IHZ_HAZ_UNNUMBER,109,1)&lt;&gt;""),TRUE)</f>
        <v>1</v>
      </c>
      <c r="H1366" t="str">
        <f t="shared" si="42"/>
        <v>Row 109 - If ‘DG classification’ is ‘IMDG’ the ‘IMO Hazard Class’ and ‘UN Number’ is mandatory</v>
      </c>
      <c r="I1366" t="s">
        <v>1391</v>
      </c>
      <c r="J1366" t="b">
        <f>IF(OR(INDEX(OHZ_HAZ_DGCLASSIFI,109,1)="IMDG",),AND(INDEX(OHZ_HAZ_IMOHAZARDC,109,1)&lt;&gt;"",INDEX(OHZ_HAZ_UNNUMBER,109,1)&lt;&gt;""),TRUE)</f>
        <v>1</v>
      </c>
      <c r="K1366" t="str">
        <f t="shared" si="43"/>
        <v>Row 109 - If ‘DG classification’ is ‘IMDG’ the ‘IMO Hazard Class’ and ‘UN Number’ is mandatory</v>
      </c>
    </row>
    <row r="1367" spans="7:11" x14ac:dyDescent="0.25">
      <c r="G1367" t="b">
        <f>IF(OR(INDEX(IHZ_HAZ_DGCLASSIFI,110,1)="IMDG",),AND(INDEX(IHZ_HAZ_IMOHAZARDC,110,1)&lt;&gt;"",INDEX(IHZ_HAZ_UNNUMBER,110,1)&lt;&gt;""),TRUE)</f>
        <v>1</v>
      </c>
      <c r="H1367" t="str">
        <f t="shared" si="42"/>
        <v>Row 110 - If ‘DG classification’ is ‘IMDG’ the ‘IMO Hazard Class’ and ‘UN Number’ is mandatory</v>
      </c>
      <c r="I1367" t="s">
        <v>1391</v>
      </c>
      <c r="J1367" t="b">
        <f>IF(OR(INDEX(OHZ_HAZ_DGCLASSIFI,110,1)="IMDG",),AND(INDEX(OHZ_HAZ_IMOHAZARDC,110,1)&lt;&gt;"",INDEX(OHZ_HAZ_UNNUMBER,110,1)&lt;&gt;""),TRUE)</f>
        <v>1</v>
      </c>
      <c r="K1367" t="str">
        <f t="shared" si="43"/>
        <v>Row 110 - If ‘DG classification’ is ‘IMDG’ the ‘IMO Hazard Class’ and ‘UN Number’ is mandatory</v>
      </c>
    </row>
    <row r="1368" spans="7:11" x14ac:dyDescent="0.25">
      <c r="G1368" t="b">
        <f>IF(OR(INDEX(IHZ_HAZ_DGCLASSIFI,111,1)="IMDG",),AND(INDEX(IHZ_HAZ_IMOHAZARDC,111,1)&lt;&gt;"",INDEX(IHZ_HAZ_UNNUMBER,111,1)&lt;&gt;""),TRUE)</f>
        <v>1</v>
      </c>
      <c r="H1368" t="str">
        <f t="shared" si="42"/>
        <v>Row 111 - If ‘DG classification’ is ‘IMDG’ the ‘IMO Hazard Class’ and ‘UN Number’ is mandatory</v>
      </c>
      <c r="I1368" t="s">
        <v>1391</v>
      </c>
      <c r="J1368" t="b">
        <f>IF(OR(INDEX(OHZ_HAZ_DGCLASSIFI,111,1)="IMDG",),AND(INDEX(OHZ_HAZ_IMOHAZARDC,111,1)&lt;&gt;"",INDEX(OHZ_HAZ_UNNUMBER,111,1)&lt;&gt;""),TRUE)</f>
        <v>1</v>
      </c>
      <c r="K1368" t="str">
        <f t="shared" si="43"/>
        <v>Row 111 - If ‘DG classification’ is ‘IMDG’ the ‘IMO Hazard Class’ and ‘UN Number’ is mandatory</v>
      </c>
    </row>
    <row r="1369" spans="7:11" x14ac:dyDescent="0.25">
      <c r="G1369" t="b">
        <f>IF(OR(INDEX(IHZ_HAZ_DGCLASSIFI,112,1)="IMDG",),AND(INDEX(IHZ_HAZ_IMOHAZARDC,112,1)&lt;&gt;"",INDEX(IHZ_HAZ_UNNUMBER,112,1)&lt;&gt;""),TRUE)</f>
        <v>1</v>
      </c>
      <c r="H1369" t="str">
        <f t="shared" si="42"/>
        <v>Row 112 - If ‘DG classification’ is ‘IMDG’ the ‘IMO Hazard Class’ and ‘UN Number’ is mandatory</v>
      </c>
      <c r="I1369" t="s">
        <v>1391</v>
      </c>
      <c r="J1369" t="b">
        <f>IF(OR(INDEX(OHZ_HAZ_DGCLASSIFI,112,1)="IMDG",),AND(INDEX(OHZ_HAZ_IMOHAZARDC,112,1)&lt;&gt;"",INDEX(OHZ_HAZ_UNNUMBER,112,1)&lt;&gt;""),TRUE)</f>
        <v>1</v>
      </c>
      <c r="K1369" t="str">
        <f t="shared" si="43"/>
        <v>Row 112 - If ‘DG classification’ is ‘IMDG’ the ‘IMO Hazard Class’ and ‘UN Number’ is mandatory</v>
      </c>
    </row>
    <row r="1370" spans="7:11" x14ac:dyDescent="0.25">
      <c r="G1370" t="b">
        <f>IF(OR(INDEX(IHZ_HAZ_DGCLASSIFI,113,1)="IMDG",),AND(INDEX(IHZ_HAZ_IMOHAZARDC,113,1)&lt;&gt;"",INDEX(IHZ_HAZ_UNNUMBER,113,1)&lt;&gt;""),TRUE)</f>
        <v>1</v>
      </c>
      <c r="H1370" t="str">
        <f t="shared" si="42"/>
        <v>Row 113 - If ‘DG classification’ is ‘IMDG’ the ‘IMO Hazard Class’ and ‘UN Number’ is mandatory</v>
      </c>
      <c r="I1370" t="s">
        <v>1391</v>
      </c>
      <c r="J1370" t="b">
        <f>IF(OR(INDEX(OHZ_HAZ_DGCLASSIFI,113,1)="IMDG",),AND(INDEX(OHZ_HAZ_IMOHAZARDC,113,1)&lt;&gt;"",INDEX(OHZ_HAZ_UNNUMBER,113,1)&lt;&gt;""),TRUE)</f>
        <v>1</v>
      </c>
      <c r="K1370" t="str">
        <f t="shared" si="43"/>
        <v>Row 113 - If ‘DG classification’ is ‘IMDG’ the ‘IMO Hazard Class’ and ‘UN Number’ is mandatory</v>
      </c>
    </row>
    <row r="1371" spans="7:11" x14ac:dyDescent="0.25">
      <c r="G1371" t="b">
        <f>IF(OR(INDEX(IHZ_HAZ_DGCLASSIFI,114,1)="IMDG",),AND(INDEX(IHZ_HAZ_IMOHAZARDC,114,1)&lt;&gt;"",INDEX(IHZ_HAZ_UNNUMBER,114,1)&lt;&gt;""),TRUE)</f>
        <v>1</v>
      </c>
      <c r="H1371" t="str">
        <f t="shared" si="42"/>
        <v>Row 114 - If ‘DG classification’ is ‘IMDG’ the ‘IMO Hazard Class’ and ‘UN Number’ is mandatory</v>
      </c>
      <c r="I1371" t="s">
        <v>1391</v>
      </c>
      <c r="J1371" t="b">
        <f>IF(OR(INDEX(OHZ_HAZ_DGCLASSIFI,114,1)="IMDG",),AND(INDEX(OHZ_HAZ_IMOHAZARDC,114,1)&lt;&gt;"",INDEX(OHZ_HAZ_UNNUMBER,114,1)&lt;&gt;""),TRUE)</f>
        <v>1</v>
      </c>
      <c r="K1371" t="str">
        <f t="shared" si="43"/>
        <v>Row 114 - If ‘DG classification’ is ‘IMDG’ the ‘IMO Hazard Class’ and ‘UN Number’ is mandatory</v>
      </c>
    </row>
    <row r="1372" spans="7:11" x14ac:dyDescent="0.25">
      <c r="G1372" t="b">
        <f>IF(OR(INDEX(IHZ_HAZ_DGCLASSIFI,115,1)="IMDG",),AND(INDEX(IHZ_HAZ_IMOHAZARDC,115,1)&lt;&gt;"",INDEX(IHZ_HAZ_UNNUMBER,115,1)&lt;&gt;""),TRUE)</f>
        <v>1</v>
      </c>
      <c r="H1372" t="str">
        <f t="shared" si="42"/>
        <v>Row 115 - If ‘DG classification’ is ‘IMDG’ the ‘IMO Hazard Class’ and ‘UN Number’ is mandatory</v>
      </c>
      <c r="I1372" t="s">
        <v>1391</v>
      </c>
      <c r="J1372" t="b">
        <f>IF(OR(INDEX(OHZ_HAZ_DGCLASSIFI,115,1)="IMDG",),AND(INDEX(OHZ_HAZ_IMOHAZARDC,115,1)&lt;&gt;"",INDEX(OHZ_HAZ_UNNUMBER,115,1)&lt;&gt;""),TRUE)</f>
        <v>1</v>
      </c>
      <c r="K1372" t="str">
        <f t="shared" si="43"/>
        <v>Row 115 - If ‘DG classification’ is ‘IMDG’ the ‘IMO Hazard Class’ and ‘UN Number’ is mandatory</v>
      </c>
    </row>
    <row r="1373" spans="7:11" x14ac:dyDescent="0.25">
      <c r="G1373" t="b">
        <f>IF(OR(INDEX(IHZ_HAZ_DGCLASSIFI,116,1)="IMDG",),AND(INDEX(IHZ_HAZ_IMOHAZARDC,116,1)&lt;&gt;"",INDEX(IHZ_HAZ_UNNUMBER,116,1)&lt;&gt;""),TRUE)</f>
        <v>1</v>
      </c>
      <c r="H1373" t="str">
        <f t="shared" si="42"/>
        <v>Row 116 - If ‘DG classification’ is ‘IMDG’ the ‘IMO Hazard Class’ and ‘UN Number’ is mandatory</v>
      </c>
      <c r="I1373" t="s">
        <v>1391</v>
      </c>
      <c r="J1373" t="b">
        <f>IF(OR(INDEX(OHZ_HAZ_DGCLASSIFI,116,1)="IMDG",),AND(INDEX(OHZ_HAZ_IMOHAZARDC,116,1)&lt;&gt;"",INDEX(OHZ_HAZ_UNNUMBER,116,1)&lt;&gt;""),TRUE)</f>
        <v>1</v>
      </c>
      <c r="K1373" t="str">
        <f t="shared" si="43"/>
        <v>Row 116 - If ‘DG classification’ is ‘IMDG’ the ‘IMO Hazard Class’ and ‘UN Number’ is mandatory</v>
      </c>
    </row>
    <row r="1374" spans="7:11" x14ac:dyDescent="0.25">
      <c r="G1374" t="b">
        <f>IF(OR(INDEX(IHZ_HAZ_DGCLASSIFI,117,1)="IMDG",),AND(INDEX(IHZ_HAZ_IMOHAZARDC,117,1)&lt;&gt;"",INDEX(IHZ_HAZ_UNNUMBER,117,1)&lt;&gt;""),TRUE)</f>
        <v>1</v>
      </c>
      <c r="H1374" t="str">
        <f t="shared" si="42"/>
        <v>Row 117 - If ‘DG classification’ is ‘IMDG’ the ‘IMO Hazard Class’ and ‘UN Number’ is mandatory</v>
      </c>
      <c r="I1374" t="s">
        <v>1391</v>
      </c>
      <c r="J1374" t="b">
        <f>IF(OR(INDEX(OHZ_HAZ_DGCLASSIFI,117,1)="IMDG",),AND(INDEX(OHZ_HAZ_IMOHAZARDC,117,1)&lt;&gt;"",INDEX(OHZ_HAZ_UNNUMBER,117,1)&lt;&gt;""),TRUE)</f>
        <v>1</v>
      </c>
      <c r="K1374" t="str">
        <f t="shared" si="43"/>
        <v>Row 117 - If ‘DG classification’ is ‘IMDG’ the ‘IMO Hazard Class’ and ‘UN Number’ is mandatory</v>
      </c>
    </row>
    <row r="1375" spans="7:11" x14ac:dyDescent="0.25">
      <c r="G1375" t="b">
        <f>IF(OR(INDEX(IHZ_HAZ_DGCLASSIFI,118,1)="IMDG",),AND(INDEX(IHZ_HAZ_IMOHAZARDC,118,1)&lt;&gt;"",INDEX(IHZ_HAZ_UNNUMBER,118,1)&lt;&gt;""),TRUE)</f>
        <v>1</v>
      </c>
      <c r="H1375" t="str">
        <f t="shared" si="42"/>
        <v>Row 118 - If ‘DG classification’ is ‘IMDG’ the ‘IMO Hazard Class’ and ‘UN Number’ is mandatory</v>
      </c>
      <c r="I1375" t="s">
        <v>1391</v>
      </c>
      <c r="J1375" t="b">
        <f>IF(OR(INDEX(OHZ_HAZ_DGCLASSIFI,118,1)="IMDG",),AND(INDEX(OHZ_HAZ_IMOHAZARDC,118,1)&lt;&gt;"",INDEX(OHZ_HAZ_UNNUMBER,118,1)&lt;&gt;""),TRUE)</f>
        <v>1</v>
      </c>
      <c r="K1375" t="str">
        <f t="shared" si="43"/>
        <v>Row 118 - If ‘DG classification’ is ‘IMDG’ the ‘IMO Hazard Class’ and ‘UN Number’ is mandatory</v>
      </c>
    </row>
    <row r="1376" spans="7:11" x14ac:dyDescent="0.25">
      <c r="G1376" t="b">
        <f>IF(OR(INDEX(IHZ_HAZ_DGCLASSIFI,119,1)="IMDG",),AND(INDEX(IHZ_HAZ_IMOHAZARDC,119,1)&lt;&gt;"",INDEX(IHZ_HAZ_UNNUMBER,119,1)&lt;&gt;""),TRUE)</f>
        <v>1</v>
      </c>
      <c r="H1376" t="str">
        <f t="shared" si="42"/>
        <v>Row 119 - If ‘DG classification’ is ‘IMDG’ the ‘IMO Hazard Class’ and ‘UN Number’ is mandatory</v>
      </c>
      <c r="I1376" t="s">
        <v>1391</v>
      </c>
      <c r="J1376" t="b">
        <f>IF(OR(INDEX(OHZ_HAZ_DGCLASSIFI,119,1)="IMDG",),AND(INDEX(OHZ_HAZ_IMOHAZARDC,119,1)&lt;&gt;"",INDEX(OHZ_HAZ_UNNUMBER,119,1)&lt;&gt;""),TRUE)</f>
        <v>1</v>
      </c>
      <c r="K1376" t="str">
        <f t="shared" si="43"/>
        <v>Row 119 - If ‘DG classification’ is ‘IMDG’ the ‘IMO Hazard Class’ and ‘UN Number’ is mandatory</v>
      </c>
    </row>
    <row r="1377" spans="7:11" x14ac:dyDescent="0.25">
      <c r="G1377" t="b">
        <f>IF(OR(INDEX(IHZ_HAZ_DGCLASSIFI,120,1)="IMDG",),AND(INDEX(IHZ_HAZ_IMOHAZARDC,120,1)&lt;&gt;"",INDEX(IHZ_HAZ_UNNUMBER,120,1)&lt;&gt;""),TRUE)</f>
        <v>1</v>
      </c>
      <c r="H1377" t="str">
        <f t="shared" si="42"/>
        <v>Row 120 - If ‘DG classification’ is ‘IMDG’ the ‘IMO Hazard Class’ and ‘UN Number’ is mandatory</v>
      </c>
      <c r="I1377" t="s">
        <v>1391</v>
      </c>
      <c r="J1377" t="b">
        <f>IF(OR(INDEX(OHZ_HAZ_DGCLASSIFI,120,1)="IMDG",),AND(INDEX(OHZ_HAZ_IMOHAZARDC,120,1)&lt;&gt;"",INDEX(OHZ_HAZ_UNNUMBER,120,1)&lt;&gt;""),TRUE)</f>
        <v>1</v>
      </c>
      <c r="K1377" t="str">
        <f t="shared" si="43"/>
        <v>Row 120 - If ‘DG classification’ is ‘IMDG’ the ‘IMO Hazard Class’ and ‘UN Number’ is mandatory</v>
      </c>
    </row>
    <row r="1378" spans="7:11" x14ac:dyDescent="0.25">
      <c r="G1378" t="b">
        <f>IF(OR(INDEX(IHZ_HAZ_DGCLASSIFI,121,1)="IMDG",),AND(INDEX(IHZ_HAZ_IMOHAZARDC,121,1)&lt;&gt;"",INDEX(IHZ_HAZ_UNNUMBER,121,1)&lt;&gt;""),TRUE)</f>
        <v>1</v>
      </c>
      <c r="H1378" t="str">
        <f t="shared" si="42"/>
        <v>Row 121 - If ‘DG classification’ is ‘IMDG’ the ‘IMO Hazard Class’ and ‘UN Number’ is mandatory</v>
      </c>
      <c r="I1378" t="s">
        <v>1391</v>
      </c>
      <c r="J1378" t="b">
        <f>IF(OR(INDEX(OHZ_HAZ_DGCLASSIFI,121,1)="IMDG",),AND(INDEX(OHZ_HAZ_IMOHAZARDC,121,1)&lt;&gt;"",INDEX(OHZ_HAZ_UNNUMBER,121,1)&lt;&gt;""),TRUE)</f>
        <v>1</v>
      </c>
      <c r="K1378" t="str">
        <f t="shared" si="43"/>
        <v>Row 121 - If ‘DG classification’ is ‘IMDG’ the ‘IMO Hazard Class’ and ‘UN Number’ is mandatory</v>
      </c>
    </row>
    <row r="1379" spans="7:11" x14ac:dyDescent="0.25">
      <c r="G1379" t="b">
        <f>IF(OR(INDEX(IHZ_HAZ_DGCLASSIFI,122,1)="IMDG",),AND(INDEX(IHZ_HAZ_IMOHAZARDC,122,1)&lt;&gt;"",INDEX(IHZ_HAZ_UNNUMBER,122,1)&lt;&gt;""),TRUE)</f>
        <v>1</v>
      </c>
      <c r="H1379" t="str">
        <f t="shared" si="42"/>
        <v>Row 122 - If ‘DG classification’ is ‘IMDG’ the ‘IMO Hazard Class’ and ‘UN Number’ is mandatory</v>
      </c>
      <c r="I1379" t="s">
        <v>1391</v>
      </c>
      <c r="J1379" t="b">
        <f>IF(OR(INDEX(OHZ_HAZ_DGCLASSIFI,122,1)="IMDG",),AND(INDEX(OHZ_HAZ_IMOHAZARDC,122,1)&lt;&gt;"",INDEX(OHZ_HAZ_UNNUMBER,122,1)&lt;&gt;""),TRUE)</f>
        <v>1</v>
      </c>
      <c r="K1379" t="str">
        <f t="shared" si="43"/>
        <v>Row 122 - If ‘DG classification’ is ‘IMDG’ the ‘IMO Hazard Class’ and ‘UN Number’ is mandatory</v>
      </c>
    </row>
    <row r="1380" spans="7:11" x14ac:dyDescent="0.25">
      <c r="G1380" t="b">
        <f>IF(OR(INDEX(IHZ_HAZ_DGCLASSIFI,123,1)="IMDG",),AND(INDEX(IHZ_HAZ_IMOHAZARDC,123,1)&lt;&gt;"",INDEX(IHZ_HAZ_UNNUMBER,123,1)&lt;&gt;""),TRUE)</f>
        <v>1</v>
      </c>
      <c r="H1380" t="str">
        <f t="shared" si="42"/>
        <v>Row 123 - If ‘DG classification’ is ‘IMDG’ the ‘IMO Hazard Class’ and ‘UN Number’ is mandatory</v>
      </c>
      <c r="I1380" t="s">
        <v>1391</v>
      </c>
      <c r="J1380" t="b">
        <f>IF(OR(INDEX(OHZ_HAZ_DGCLASSIFI,123,1)="IMDG",),AND(INDEX(OHZ_HAZ_IMOHAZARDC,123,1)&lt;&gt;"",INDEX(OHZ_HAZ_UNNUMBER,123,1)&lt;&gt;""),TRUE)</f>
        <v>1</v>
      </c>
      <c r="K1380" t="str">
        <f t="shared" si="43"/>
        <v>Row 123 - If ‘DG classification’ is ‘IMDG’ the ‘IMO Hazard Class’ and ‘UN Number’ is mandatory</v>
      </c>
    </row>
    <row r="1381" spans="7:11" x14ac:dyDescent="0.25">
      <c r="G1381" t="b">
        <f>IF(OR(INDEX(IHZ_HAZ_DGCLASSIFI,124,1)="IMDG",),AND(INDEX(IHZ_HAZ_IMOHAZARDC,124,1)&lt;&gt;"",INDEX(IHZ_HAZ_UNNUMBER,124,1)&lt;&gt;""),TRUE)</f>
        <v>1</v>
      </c>
      <c r="H1381" t="str">
        <f t="shared" si="42"/>
        <v>Row 124 - If ‘DG classification’ is ‘IMDG’ the ‘IMO Hazard Class’ and ‘UN Number’ is mandatory</v>
      </c>
      <c r="I1381" t="s">
        <v>1391</v>
      </c>
      <c r="J1381" t="b">
        <f>IF(OR(INDEX(OHZ_HAZ_DGCLASSIFI,124,1)="IMDG",),AND(INDEX(OHZ_HAZ_IMOHAZARDC,124,1)&lt;&gt;"",INDEX(OHZ_HAZ_UNNUMBER,124,1)&lt;&gt;""),TRUE)</f>
        <v>1</v>
      </c>
      <c r="K1381" t="str">
        <f t="shared" si="43"/>
        <v>Row 124 - If ‘DG classification’ is ‘IMDG’ the ‘IMO Hazard Class’ and ‘UN Number’ is mandatory</v>
      </c>
    </row>
    <row r="1382" spans="7:11" x14ac:dyDescent="0.25">
      <c r="G1382" t="b">
        <f>IF(OR(INDEX(IHZ_HAZ_DGCLASSIFI,125,1)="IMDG",),AND(INDEX(IHZ_HAZ_IMOHAZARDC,125,1)&lt;&gt;"",INDEX(IHZ_HAZ_UNNUMBER,125,1)&lt;&gt;""),TRUE)</f>
        <v>1</v>
      </c>
      <c r="H1382" t="str">
        <f t="shared" si="42"/>
        <v>Row 125 - If ‘DG classification’ is ‘IMDG’ the ‘IMO Hazard Class’ and ‘UN Number’ is mandatory</v>
      </c>
      <c r="I1382" t="s">
        <v>1391</v>
      </c>
      <c r="J1382" t="b">
        <f>IF(OR(INDEX(OHZ_HAZ_DGCLASSIFI,125,1)="IMDG",),AND(INDEX(OHZ_HAZ_IMOHAZARDC,125,1)&lt;&gt;"",INDEX(OHZ_HAZ_UNNUMBER,125,1)&lt;&gt;""),TRUE)</f>
        <v>1</v>
      </c>
      <c r="K1382" t="str">
        <f t="shared" si="43"/>
        <v>Row 125 - If ‘DG classification’ is ‘IMDG’ the ‘IMO Hazard Class’ and ‘UN Number’ is mandatory</v>
      </c>
    </row>
    <row r="1383" spans="7:11" x14ac:dyDescent="0.25">
      <c r="G1383" t="b">
        <f>IF(OR(INDEX(IHZ_HAZ_DGCLASSIFI,126,1)="IMDG",),AND(INDEX(IHZ_HAZ_IMOHAZARDC,126,1)&lt;&gt;"",INDEX(IHZ_HAZ_UNNUMBER,126,1)&lt;&gt;""),TRUE)</f>
        <v>1</v>
      </c>
      <c r="H1383" t="str">
        <f t="shared" si="42"/>
        <v>Row 126 - If ‘DG classification’ is ‘IMDG’ the ‘IMO Hazard Class’ and ‘UN Number’ is mandatory</v>
      </c>
      <c r="I1383" t="s">
        <v>1391</v>
      </c>
      <c r="J1383" t="b">
        <f>IF(OR(INDEX(OHZ_HAZ_DGCLASSIFI,126,1)="IMDG",),AND(INDEX(OHZ_HAZ_IMOHAZARDC,126,1)&lt;&gt;"",INDEX(OHZ_HAZ_UNNUMBER,126,1)&lt;&gt;""),TRUE)</f>
        <v>1</v>
      </c>
      <c r="K1383" t="str">
        <f t="shared" si="43"/>
        <v>Row 126 - If ‘DG classification’ is ‘IMDG’ the ‘IMO Hazard Class’ and ‘UN Number’ is mandatory</v>
      </c>
    </row>
    <row r="1384" spans="7:11" x14ac:dyDescent="0.25">
      <c r="G1384" t="b">
        <f>IF(OR(INDEX(IHZ_HAZ_DGCLASSIFI,127,1)="IMDG",),AND(INDEX(IHZ_HAZ_IMOHAZARDC,127,1)&lt;&gt;"",INDEX(IHZ_HAZ_UNNUMBER,127,1)&lt;&gt;""),TRUE)</f>
        <v>1</v>
      </c>
      <c r="H1384" t="str">
        <f t="shared" si="42"/>
        <v>Row 127 - If ‘DG classification’ is ‘IMDG’ the ‘IMO Hazard Class’ and ‘UN Number’ is mandatory</v>
      </c>
      <c r="I1384" t="s">
        <v>1391</v>
      </c>
      <c r="J1384" t="b">
        <f>IF(OR(INDEX(OHZ_HAZ_DGCLASSIFI,127,1)="IMDG",),AND(INDEX(OHZ_HAZ_IMOHAZARDC,127,1)&lt;&gt;"",INDEX(OHZ_HAZ_UNNUMBER,127,1)&lt;&gt;""),TRUE)</f>
        <v>1</v>
      </c>
      <c r="K1384" t="str">
        <f t="shared" si="43"/>
        <v>Row 127 - If ‘DG classification’ is ‘IMDG’ the ‘IMO Hazard Class’ and ‘UN Number’ is mandatory</v>
      </c>
    </row>
    <row r="1385" spans="7:11" x14ac:dyDescent="0.25">
      <c r="G1385" t="b">
        <f>IF(OR(INDEX(IHZ_HAZ_DGCLASSIFI,128,1)="IMDG",),AND(INDEX(IHZ_HAZ_IMOHAZARDC,128,1)&lt;&gt;"",INDEX(IHZ_HAZ_UNNUMBER,128,1)&lt;&gt;""),TRUE)</f>
        <v>1</v>
      </c>
      <c r="H1385" t="str">
        <f t="shared" si="42"/>
        <v>Row 128 - If ‘DG classification’ is ‘IMDG’ the ‘IMO Hazard Class’ and ‘UN Number’ is mandatory</v>
      </c>
      <c r="I1385" t="s">
        <v>1391</v>
      </c>
      <c r="J1385" t="b">
        <f>IF(OR(INDEX(OHZ_HAZ_DGCLASSIFI,128,1)="IMDG",),AND(INDEX(OHZ_HAZ_IMOHAZARDC,128,1)&lt;&gt;"",INDEX(OHZ_HAZ_UNNUMBER,128,1)&lt;&gt;""),TRUE)</f>
        <v>1</v>
      </c>
      <c r="K1385" t="str">
        <f t="shared" si="43"/>
        <v>Row 128 - If ‘DG classification’ is ‘IMDG’ the ‘IMO Hazard Class’ and ‘UN Number’ is mandatory</v>
      </c>
    </row>
    <row r="1386" spans="7:11" x14ac:dyDescent="0.25">
      <c r="G1386" t="b">
        <f>IF(OR(INDEX(IHZ_HAZ_DGCLASSIFI,129,1)="IMDG",),AND(INDEX(IHZ_HAZ_IMOHAZARDC,129,1)&lt;&gt;"",INDEX(IHZ_HAZ_UNNUMBER,129,1)&lt;&gt;""),TRUE)</f>
        <v>1</v>
      </c>
      <c r="H1386" t="str">
        <f t="shared" si="42"/>
        <v>Row 129 - If ‘DG classification’ is ‘IMDG’ the ‘IMO Hazard Class’ and ‘UN Number’ is mandatory</v>
      </c>
      <c r="I1386" t="s">
        <v>1391</v>
      </c>
      <c r="J1386" t="b">
        <f>IF(OR(INDEX(OHZ_HAZ_DGCLASSIFI,129,1)="IMDG",),AND(INDEX(OHZ_HAZ_IMOHAZARDC,129,1)&lt;&gt;"",INDEX(OHZ_HAZ_UNNUMBER,129,1)&lt;&gt;""),TRUE)</f>
        <v>1</v>
      </c>
      <c r="K1386" t="str">
        <f t="shared" si="43"/>
        <v>Row 129 - If ‘DG classification’ is ‘IMDG’ the ‘IMO Hazard Class’ and ‘UN Number’ is mandatory</v>
      </c>
    </row>
    <row r="1387" spans="7:11" x14ac:dyDescent="0.25">
      <c r="G1387" t="b">
        <f>IF(OR(INDEX(IHZ_HAZ_DGCLASSIFI,130,1)="IMDG",),AND(INDEX(IHZ_HAZ_IMOHAZARDC,130,1)&lt;&gt;"",INDEX(IHZ_HAZ_UNNUMBER,130,1)&lt;&gt;""),TRUE)</f>
        <v>1</v>
      </c>
      <c r="H1387" t="str">
        <f t="shared" ref="H1387:H1450" si="44">T130&amp;$V$6</f>
        <v>Row 130 - If ‘DG classification’ is ‘IMDG’ the ‘IMO Hazard Class’ and ‘UN Number’ is mandatory</v>
      </c>
      <c r="I1387" t="s">
        <v>1391</v>
      </c>
      <c r="J1387" t="b">
        <f>IF(OR(INDEX(OHZ_HAZ_DGCLASSIFI,130,1)="IMDG",),AND(INDEX(OHZ_HAZ_IMOHAZARDC,130,1)&lt;&gt;"",INDEX(OHZ_HAZ_UNNUMBER,130,1)&lt;&gt;""),TRUE)</f>
        <v>1</v>
      </c>
      <c r="K1387" t="str">
        <f t="shared" ref="K1387:K1450" si="45">T130&amp;$V$6</f>
        <v>Row 130 - If ‘DG classification’ is ‘IMDG’ the ‘IMO Hazard Class’ and ‘UN Number’ is mandatory</v>
      </c>
    </row>
    <row r="1388" spans="7:11" x14ac:dyDescent="0.25">
      <c r="G1388" t="b">
        <f>IF(OR(INDEX(IHZ_HAZ_DGCLASSIFI,131,1)="IMDG",),AND(INDEX(IHZ_HAZ_IMOHAZARDC,131,1)&lt;&gt;"",INDEX(IHZ_HAZ_UNNUMBER,131,1)&lt;&gt;""),TRUE)</f>
        <v>1</v>
      </c>
      <c r="H1388" t="str">
        <f t="shared" si="44"/>
        <v>Row 131 - If ‘DG classification’ is ‘IMDG’ the ‘IMO Hazard Class’ and ‘UN Number’ is mandatory</v>
      </c>
      <c r="I1388" t="s">
        <v>1391</v>
      </c>
      <c r="J1388" t="b">
        <f>IF(OR(INDEX(OHZ_HAZ_DGCLASSIFI,131,1)="IMDG",),AND(INDEX(OHZ_HAZ_IMOHAZARDC,131,1)&lt;&gt;"",INDEX(OHZ_HAZ_UNNUMBER,131,1)&lt;&gt;""),TRUE)</f>
        <v>1</v>
      </c>
      <c r="K1388" t="str">
        <f t="shared" si="45"/>
        <v>Row 131 - If ‘DG classification’ is ‘IMDG’ the ‘IMO Hazard Class’ and ‘UN Number’ is mandatory</v>
      </c>
    </row>
    <row r="1389" spans="7:11" x14ac:dyDescent="0.25">
      <c r="G1389" t="b">
        <f>IF(OR(INDEX(IHZ_HAZ_DGCLASSIFI,132,1)="IMDG",),AND(INDEX(IHZ_HAZ_IMOHAZARDC,132,1)&lt;&gt;"",INDEX(IHZ_HAZ_UNNUMBER,132,1)&lt;&gt;""),TRUE)</f>
        <v>1</v>
      </c>
      <c r="H1389" t="str">
        <f t="shared" si="44"/>
        <v>Row 132 - If ‘DG classification’ is ‘IMDG’ the ‘IMO Hazard Class’ and ‘UN Number’ is mandatory</v>
      </c>
      <c r="I1389" t="s">
        <v>1391</v>
      </c>
      <c r="J1389" t="b">
        <f>IF(OR(INDEX(OHZ_HAZ_DGCLASSIFI,132,1)="IMDG",),AND(INDEX(OHZ_HAZ_IMOHAZARDC,132,1)&lt;&gt;"",INDEX(OHZ_HAZ_UNNUMBER,132,1)&lt;&gt;""),TRUE)</f>
        <v>1</v>
      </c>
      <c r="K1389" t="str">
        <f t="shared" si="45"/>
        <v>Row 132 - If ‘DG classification’ is ‘IMDG’ the ‘IMO Hazard Class’ and ‘UN Number’ is mandatory</v>
      </c>
    </row>
    <row r="1390" spans="7:11" x14ac:dyDescent="0.25">
      <c r="G1390" t="b">
        <f>IF(OR(INDEX(IHZ_HAZ_DGCLASSIFI,133,1)="IMDG",),AND(INDEX(IHZ_HAZ_IMOHAZARDC,133,1)&lt;&gt;"",INDEX(IHZ_HAZ_UNNUMBER,133,1)&lt;&gt;""),TRUE)</f>
        <v>1</v>
      </c>
      <c r="H1390" t="str">
        <f t="shared" si="44"/>
        <v>Row 133 - If ‘DG classification’ is ‘IMDG’ the ‘IMO Hazard Class’ and ‘UN Number’ is mandatory</v>
      </c>
      <c r="I1390" t="s">
        <v>1391</v>
      </c>
      <c r="J1390" t="b">
        <f>IF(OR(INDEX(OHZ_HAZ_DGCLASSIFI,133,1)="IMDG",),AND(INDEX(OHZ_HAZ_IMOHAZARDC,133,1)&lt;&gt;"",INDEX(OHZ_HAZ_UNNUMBER,133,1)&lt;&gt;""),TRUE)</f>
        <v>1</v>
      </c>
      <c r="K1390" t="str">
        <f t="shared" si="45"/>
        <v>Row 133 - If ‘DG classification’ is ‘IMDG’ the ‘IMO Hazard Class’ and ‘UN Number’ is mandatory</v>
      </c>
    </row>
    <row r="1391" spans="7:11" x14ac:dyDescent="0.25">
      <c r="G1391" t="b">
        <f>IF(OR(INDEX(IHZ_HAZ_DGCLASSIFI,134,1)="IMDG",),AND(INDEX(IHZ_HAZ_IMOHAZARDC,134,1)&lt;&gt;"",INDEX(IHZ_HAZ_UNNUMBER,134,1)&lt;&gt;""),TRUE)</f>
        <v>1</v>
      </c>
      <c r="H1391" t="str">
        <f t="shared" si="44"/>
        <v>Row 134 - If ‘DG classification’ is ‘IMDG’ the ‘IMO Hazard Class’ and ‘UN Number’ is mandatory</v>
      </c>
      <c r="I1391" t="s">
        <v>1391</v>
      </c>
      <c r="J1391" t="b">
        <f>IF(OR(INDEX(OHZ_HAZ_DGCLASSIFI,134,1)="IMDG",),AND(INDEX(OHZ_HAZ_IMOHAZARDC,134,1)&lt;&gt;"",INDEX(OHZ_HAZ_UNNUMBER,134,1)&lt;&gt;""),TRUE)</f>
        <v>1</v>
      </c>
      <c r="K1391" t="str">
        <f t="shared" si="45"/>
        <v>Row 134 - If ‘DG classification’ is ‘IMDG’ the ‘IMO Hazard Class’ and ‘UN Number’ is mandatory</v>
      </c>
    </row>
    <row r="1392" spans="7:11" x14ac:dyDescent="0.25">
      <c r="G1392" t="b">
        <f>IF(OR(INDEX(IHZ_HAZ_DGCLASSIFI,135,1)="IMDG",),AND(INDEX(IHZ_HAZ_IMOHAZARDC,135,1)&lt;&gt;"",INDEX(IHZ_HAZ_UNNUMBER,135,1)&lt;&gt;""),TRUE)</f>
        <v>1</v>
      </c>
      <c r="H1392" t="str">
        <f t="shared" si="44"/>
        <v>Row 135 - If ‘DG classification’ is ‘IMDG’ the ‘IMO Hazard Class’ and ‘UN Number’ is mandatory</v>
      </c>
      <c r="I1392" t="s">
        <v>1391</v>
      </c>
      <c r="J1392" t="b">
        <f>IF(OR(INDEX(OHZ_HAZ_DGCLASSIFI,135,1)="IMDG",),AND(INDEX(OHZ_HAZ_IMOHAZARDC,135,1)&lt;&gt;"",INDEX(OHZ_HAZ_UNNUMBER,135,1)&lt;&gt;""),TRUE)</f>
        <v>1</v>
      </c>
      <c r="K1392" t="str">
        <f t="shared" si="45"/>
        <v>Row 135 - If ‘DG classification’ is ‘IMDG’ the ‘IMO Hazard Class’ and ‘UN Number’ is mandatory</v>
      </c>
    </row>
    <row r="1393" spans="7:11" x14ac:dyDescent="0.25">
      <c r="G1393" t="b">
        <f>IF(OR(INDEX(IHZ_HAZ_DGCLASSIFI,136,1)="IMDG",),AND(INDEX(IHZ_HAZ_IMOHAZARDC,136,1)&lt;&gt;"",INDEX(IHZ_HAZ_UNNUMBER,136,1)&lt;&gt;""),TRUE)</f>
        <v>1</v>
      </c>
      <c r="H1393" t="str">
        <f t="shared" si="44"/>
        <v>Row 136 - If ‘DG classification’ is ‘IMDG’ the ‘IMO Hazard Class’ and ‘UN Number’ is mandatory</v>
      </c>
      <c r="I1393" t="s">
        <v>1391</v>
      </c>
      <c r="J1393" t="b">
        <f>IF(OR(INDEX(OHZ_HAZ_DGCLASSIFI,136,1)="IMDG",),AND(INDEX(OHZ_HAZ_IMOHAZARDC,136,1)&lt;&gt;"",INDEX(OHZ_HAZ_UNNUMBER,136,1)&lt;&gt;""),TRUE)</f>
        <v>1</v>
      </c>
      <c r="K1393" t="str">
        <f t="shared" si="45"/>
        <v>Row 136 - If ‘DG classification’ is ‘IMDG’ the ‘IMO Hazard Class’ and ‘UN Number’ is mandatory</v>
      </c>
    </row>
    <row r="1394" spans="7:11" x14ac:dyDescent="0.25">
      <c r="G1394" t="b">
        <f>IF(OR(INDEX(IHZ_HAZ_DGCLASSIFI,137,1)="IMDG",),AND(INDEX(IHZ_HAZ_IMOHAZARDC,137,1)&lt;&gt;"",INDEX(IHZ_HAZ_UNNUMBER,137,1)&lt;&gt;""),TRUE)</f>
        <v>1</v>
      </c>
      <c r="H1394" t="str">
        <f t="shared" si="44"/>
        <v>Row 137 - If ‘DG classification’ is ‘IMDG’ the ‘IMO Hazard Class’ and ‘UN Number’ is mandatory</v>
      </c>
      <c r="I1394" t="s">
        <v>1391</v>
      </c>
      <c r="J1394" t="b">
        <f>IF(OR(INDEX(OHZ_HAZ_DGCLASSIFI,137,1)="IMDG",),AND(INDEX(OHZ_HAZ_IMOHAZARDC,137,1)&lt;&gt;"",INDEX(OHZ_HAZ_UNNUMBER,137,1)&lt;&gt;""),TRUE)</f>
        <v>1</v>
      </c>
      <c r="K1394" t="str">
        <f t="shared" si="45"/>
        <v>Row 137 - If ‘DG classification’ is ‘IMDG’ the ‘IMO Hazard Class’ and ‘UN Number’ is mandatory</v>
      </c>
    </row>
    <row r="1395" spans="7:11" x14ac:dyDescent="0.25">
      <c r="G1395" t="b">
        <f>IF(OR(INDEX(IHZ_HAZ_DGCLASSIFI,138,1)="IMDG",),AND(INDEX(IHZ_HAZ_IMOHAZARDC,138,1)&lt;&gt;"",INDEX(IHZ_HAZ_UNNUMBER,138,1)&lt;&gt;""),TRUE)</f>
        <v>1</v>
      </c>
      <c r="H1395" t="str">
        <f t="shared" si="44"/>
        <v>Row 138 - If ‘DG classification’ is ‘IMDG’ the ‘IMO Hazard Class’ and ‘UN Number’ is mandatory</v>
      </c>
      <c r="I1395" t="s">
        <v>1391</v>
      </c>
      <c r="J1395" t="b">
        <f>IF(OR(INDEX(OHZ_HAZ_DGCLASSIFI,138,1)="IMDG",),AND(INDEX(OHZ_HAZ_IMOHAZARDC,138,1)&lt;&gt;"",INDEX(OHZ_HAZ_UNNUMBER,138,1)&lt;&gt;""),TRUE)</f>
        <v>1</v>
      </c>
      <c r="K1395" t="str">
        <f t="shared" si="45"/>
        <v>Row 138 - If ‘DG classification’ is ‘IMDG’ the ‘IMO Hazard Class’ and ‘UN Number’ is mandatory</v>
      </c>
    </row>
    <row r="1396" spans="7:11" x14ac:dyDescent="0.25">
      <c r="G1396" t="b">
        <f>IF(OR(INDEX(IHZ_HAZ_DGCLASSIFI,139,1)="IMDG",),AND(INDEX(IHZ_HAZ_IMOHAZARDC,139,1)&lt;&gt;"",INDEX(IHZ_HAZ_UNNUMBER,139,1)&lt;&gt;""),TRUE)</f>
        <v>1</v>
      </c>
      <c r="H1396" t="str">
        <f t="shared" si="44"/>
        <v>Row 139 - If ‘DG classification’ is ‘IMDG’ the ‘IMO Hazard Class’ and ‘UN Number’ is mandatory</v>
      </c>
      <c r="I1396" t="s">
        <v>1391</v>
      </c>
      <c r="J1396" t="b">
        <f>IF(OR(INDEX(OHZ_HAZ_DGCLASSIFI,139,1)="IMDG",),AND(INDEX(OHZ_HAZ_IMOHAZARDC,139,1)&lt;&gt;"",INDEX(OHZ_HAZ_UNNUMBER,139,1)&lt;&gt;""),TRUE)</f>
        <v>1</v>
      </c>
      <c r="K1396" t="str">
        <f t="shared" si="45"/>
        <v>Row 139 - If ‘DG classification’ is ‘IMDG’ the ‘IMO Hazard Class’ and ‘UN Number’ is mandatory</v>
      </c>
    </row>
    <row r="1397" spans="7:11" x14ac:dyDescent="0.25">
      <c r="G1397" t="b">
        <f>IF(OR(INDEX(IHZ_HAZ_DGCLASSIFI,140,1)="IMDG",),AND(INDEX(IHZ_HAZ_IMOHAZARDC,140,1)&lt;&gt;"",INDEX(IHZ_HAZ_UNNUMBER,140,1)&lt;&gt;""),TRUE)</f>
        <v>1</v>
      </c>
      <c r="H1397" t="str">
        <f t="shared" si="44"/>
        <v>Row 140 - If ‘DG classification’ is ‘IMDG’ the ‘IMO Hazard Class’ and ‘UN Number’ is mandatory</v>
      </c>
      <c r="I1397" t="s">
        <v>1391</v>
      </c>
      <c r="J1397" t="b">
        <f>IF(OR(INDEX(OHZ_HAZ_DGCLASSIFI,140,1)="IMDG",),AND(INDEX(OHZ_HAZ_IMOHAZARDC,140,1)&lt;&gt;"",INDEX(OHZ_HAZ_UNNUMBER,140,1)&lt;&gt;""),TRUE)</f>
        <v>1</v>
      </c>
      <c r="K1397" t="str">
        <f t="shared" si="45"/>
        <v>Row 140 - If ‘DG classification’ is ‘IMDG’ the ‘IMO Hazard Class’ and ‘UN Number’ is mandatory</v>
      </c>
    </row>
    <row r="1398" spans="7:11" x14ac:dyDescent="0.25">
      <c r="G1398" t="b">
        <f>IF(OR(INDEX(IHZ_HAZ_DGCLASSIFI,141,1)="IMDG",),AND(INDEX(IHZ_HAZ_IMOHAZARDC,141,1)&lt;&gt;"",INDEX(IHZ_HAZ_UNNUMBER,141,1)&lt;&gt;""),TRUE)</f>
        <v>1</v>
      </c>
      <c r="H1398" t="str">
        <f t="shared" si="44"/>
        <v>Row 141 - If ‘DG classification’ is ‘IMDG’ the ‘IMO Hazard Class’ and ‘UN Number’ is mandatory</v>
      </c>
      <c r="I1398" t="s">
        <v>1391</v>
      </c>
      <c r="J1398" t="b">
        <f>IF(OR(INDEX(OHZ_HAZ_DGCLASSIFI,141,1)="IMDG",),AND(INDEX(OHZ_HAZ_IMOHAZARDC,141,1)&lt;&gt;"",INDEX(OHZ_HAZ_UNNUMBER,141,1)&lt;&gt;""),TRUE)</f>
        <v>1</v>
      </c>
      <c r="K1398" t="str">
        <f t="shared" si="45"/>
        <v>Row 141 - If ‘DG classification’ is ‘IMDG’ the ‘IMO Hazard Class’ and ‘UN Number’ is mandatory</v>
      </c>
    </row>
    <row r="1399" spans="7:11" x14ac:dyDescent="0.25">
      <c r="G1399" t="b">
        <f>IF(OR(INDEX(IHZ_HAZ_DGCLASSIFI,142,1)="IMDG",),AND(INDEX(IHZ_HAZ_IMOHAZARDC,142,1)&lt;&gt;"",INDEX(IHZ_HAZ_UNNUMBER,142,1)&lt;&gt;""),TRUE)</f>
        <v>1</v>
      </c>
      <c r="H1399" t="str">
        <f t="shared" si="44"/>
        <v>Row 142 - If ‘DG classification’ is ‘IMDG’ the ‘IMO Hazard Class’ and ‘UN Number’ is mandatory</v>
      </c>
      <c r="I1399" t="s">
        <v>1391</v>
      </c>
      <c r="J1399" t="b">
        <f>IF(OR(INDEX(OHZ_HAZ_DGCLASSIFI,142,1)="IMDG",),AND(INDEX(OHZ_HAZ_IMOHAZARDC,142,1)&lt;&gt;"",INDEX(OHZ_HAZ_UNNUMBER,142,1)&lt;&gt;""),TRUE)</f>
        <v>1</v>
      </c>
      <c r="K1399" t="str">
        <f t="shared" si="45"/>
        <v>Row 142 - If ‘DG classification’ is ‘IMDG’ the ‘IMO Hazard Class’ and ‘UN Number’ is mandatory</v>
      </c>
    </row>
    <row r="1400" spans="7:11" x14ac:dyDescent="0.25">
      <c r="G1400" t="b">
        <f>IF(OR(INDEX(IHZ_HAZ_DGCLASSIFI,143,1)="IMDG",),AND(INDEX(IHZ_HAZ_IMOHAZARDC,143,1)&lt;&gt;"",INDEX(IHZ_HAZ_UNNUMBER,143,1)&lt;&gt;""),TRUE)</f>
        <v>1</v>
      </c>
      <c r="H1400" t="str">
        <f t="shared" si="44"/>
        <v>Row 143 - If ‘DG classification’ is ‘IMDG’ the ‘IMO Hazard Class’ and ‘UN Number’ is mandatory</v>
      </c>
      <c r="I1400" t="s">
        <v>1391</v>
      </c>
      <c r="J1400" t="b">
        <f>IF(OR(INDEX(OHZ_HAZ_DGCLASSIFI,143,1)="IMDG",),AND(INDEX(OHZ_HAZ_IMOHAZARDC,143,1)&lt;&gt;"",INDEX(OHZ_HAZ_UNNUMBER,143,1)&lt;&gt;""),TRUE)</f>
        <v>1</v>
      </c>
      <c r="K1400" t="str">
        <f t="shared" si="45"/>
        <v>Row 143 - If ‘DG classification’ is ‘IMDG’ the ‘IMO Hazard Class’ and ‘UN Number’ is mandatory</v>
      </c>
    </row>
    <row r="1401" spans="7:11" x14ac:dyDescent="0.25">
      <c r="G1401" t="b">
        <f>IF(OR(INDEX(IHZ_HAZ_DGCLASSIFI,144,1)="IMDG",),AND(INDEX(IHZ_HAZ_IMOHAZARDC,144,1)&lt;&gt;"",INDEX(IHZ_HAZ_UNNUMBER,144,1)&lt;&gt;""),TRUE)</f>
        <v>1</v>
      </c>
      <c r="H1401" t="str">
        <f t="shared" si="44"/>
        <v>Row 144 - If ‘DG classification’ is ‘IMDG’ the ‘IMO Hazard Class’ and ‘UN Number’ is mandatory</v>
      </c>
      <c r="I1401" t="s">
        <v>1391</v>
      </c>
      <c r="J1401" t="b">
        <f>IF(OR(INDEX(OHZ_HAZ_DGCLASSIFI,144,1)="IMDG",),AND(INDEX(OHZ_HAZ_IMOHAZARDC,144,1)&lt;&gt;"",INDEX(OHZ_HAZ_UNNUMBER,144,1)&lt;&gt;""),TRUE)</f>
        <v>1</v>
      </c>
      <c r="K1401" t="str">
        <f t="shared" si="45"/>
        <v>Row 144 - If ‘DG classification’ is ‘IMDG’ the ‘IMO Hazard Class’ and ‘UN Number’ is mandatory</v>
      </c>
    </row>
    <row r="1402" spans="7:11" x14ac:dyDescent="0.25">
      <c r="G1402" t="b">
        <f>IF(OR(INDEX(IHZ_HAZ_DGCLASSIFI,145,1)="IMDG",),AND(INDEX(IHZ_HAZ_IMOHAZARDC,145,1)&lt;&gt;"",INDEX(IHZ_HAZ_UNNUMBER,145,1)&lt;&gt;""),TRUE)</f>
        <v>1</v>
      </c>
      <c r="H1402" t="str">
        <f t="shared" si="44"/>
        <v>Row 145 - If ‘DG classification’ is ‘IMDG’ the ‘IMO Hazard Class’ and ‘UN Number’ is mandatory</v>
      </c>
      <c r="I1402" t="s">
        <v>1391</v>
      </c>
      <c r="J1402" t="b">
        <f>IF(OR(INDEX(OHZ_HAZ_DGCLASSIFI,145,1)="IMDG",),AND(INDEX(OHZ_HAZ_IMOHAZARDC,145,1)&lt;&gt;"",INDEX(OHZ_HAZ_UNNUMBER,145,1)&lt;&gt;""),TRUE)</f>
        <v>1</v>
      </c>
      <c r="K1402" t="str">
        <f t="shared" si="45"/>
        <v>Row 145 - If ‘DG classification’ is ‘IMDG’ the ‘IMO Hazard Class’ and ‘UN Number’ is mandatory</v>
      </c>
    </row>
    <row r="1403" spans="7:11" x14ac:dyDescent="0.25">
      <c r="G1403" t="b">
        <f>IF(OR(INDEX(IHZ_HAZ_DGCLASSIFI,146,1)="IMDG",),AND(INDEX(IHZ_HAZ_IMOHAZARDC,146,1)&lt;&gt;"",INDEX(IHZ_HAZ_UNNUMBER,146,1)&lt;&gt;""),TRUE)</f>
        <v>1</v>
      </c>
      <c r="H1403" t="str">
        <f t="shared" si="44"/>
        <v>Row 146 - If ‘DG classification’ is ‘IMDG’ the ‘IMO Hazard Class’ and ‘UN Number’ is mandatory</v>
      </c>
      <c r="I1403" t="s">
        <v>1391</v>
      </c>
      <c r="J1403" t="b">
        <f>IF(OR(INDEX(OHZ_HAZ_DGCLASSIFI,146,1)="IMDG",),AND(INDEX(OHZ_HAZ_IMOHAZARDC,146,1)&lt;&gt;"",INDEX(OHZ_HAZ_UNNUMBER,146,1)&lt;&gt;""),TRUE)</f>
        <v>1</v>
      </c>
      <c r="K1403" t="str">
        <f t="shared" si="45"/>
        <v>Row 146 - If ‘DG classification’ is ‘IMDG’ the ‘IMO Hazard Class’ and ‘UN Number’ is mandatory</v>
      </c>
    </row>
    <row r="1404" spans="7:11" x14ac:dyDescent="0.25">
      <c r="G1404" t="b">
        <f>IF(OR(INDEX(IHZ_HAZ_DGCLASSIFI,147,1)="IMDG",),AND(INDEX(IHZ_HAZ_IMOHAZARDC,147,1)&lt;&gt;"",INDEX(IHZ_HAZ_UNNUMBER,147,1)&lt;&gt;""),TRUE)</f>
        <v>1</v>
      </c>
      <c r="H1404" t="str">
        <f t="shared" si="44"/>
        <v>Row 147 - If ‘DG classification’ is ‘IMDG’ the ‘IMO Hazard Class’ and ‘UN Number’ is mandatory</v>
      </c>
      <c r="I1404" t="s">
        <v>1391</v>
      </c>
      <c r="J1404" t="b">
        <f>IF(OR(INDEX(OHZ_HAZ_DGCLASSIFI,147,1)="IMDG",),AND(INDEX(OHZ_HAZ_IMOHAZARDC,147,1)&lt;&gt;"",INDEX(OHZ_HAZ_UNNUMBER,147,1)&lt;&gt;""),TRUE)</f>
        <v>1</v>
      </c>
      <c r="K1404" t="str">
        <f t="shared" si="45"/>
        <v>Row 147 - If ‘DG classification’ is ‘IMDG’ the ‘IMO Hazard Class’ and ‘UN Number’ is mandatory</v>
      </c>
    </row>
    <row r="1405" spans="7:11" x14ac:dyDescent="0.25">
      <c r="G1405" t="b">
        <f>IF(OR(INDEX(IHZ_HAZ_DGCLASSIFI,148,1)="IMDG",),AND(INDEX(IHZ_HAZ_IMOHAZARDC,148,1)&lt;&gt;"",INDEX(IHZ_HAZ_UNNUMBER,148,1)&lt;&gt;""),TRUE)</f>
        <v>1</v>
      </c>
      <c r="H1405" t="str">
        <f t="shared" si="44"/>
        <v>Row 148 - If ‘DG classification’ is ‘IMDG’ the ‘IMO Hazard Class’ and ‘UN Number’ is mandatory</v>
      </c>
      <c r="I1405" t="s">
        <v>1391</v>
      </c>
      <c r="J1405" t="b">
        <f>IF(OR(INDEX(OHZ_HAZ_DGCLASSIFI,148,1)="IMDG",),AND(INDEX(OHZ_HAZ_IMOHAZARDC,148,1)&lt;&gt;"",INDEX(OHZ_HAZ_UNNUMBER,148,1)&lt;&gt;""),TRUE)</f>
        <v>1</v>
      </c>
      <c r="K1405" t="str">
        <f t="shared" si="45"/>
        <v>Row 148 - If ‘DG classification’ is ‘IMDG’ the ‘IMO Hazard Class’ and ‘UN Number’ is mandatory</v>
      </c>
    </row>
    <row r="1406" spans="7:11" x14ac:dyDescent="0.25">
      <c r="G1406" t="b">
        <f>IF(OR(INDEX(IHZ_HAZ_DGCLASSIFI,149,1)="IMDG",),AND(INDEX(IHZ_HAZ_IMOHAZARDC,149,1)&lt;&gt;"",INDEX(IHZ_HAZ_UNNUMBER,149,1)&lt;&gt;""),TRUE)</f>
        <v>1</v>
      </c>
      <c r="H1406" t="str">
        <f t="shared" si="44"/>
        <v>Row 149 - If ‘DG classification’ is ‘IMDG’ the ‘IMO Hazard Class’ and ‘UN Number’ is mandatory</v>
      </c>
      <c r="J1406" t="b">
        <f>IF(OR(INDEX(OHZ_HAZ_DGCLASSIFI,149,1)="IMDG",),AND(INDEX(OHZ_HAZ_IMOHAZARDC,149,1)&lt;&gt;"",INDEX(OHZ_HAZ_UNNUMBER,149,1)&lt;&gt;""),TRUE)</f>
        <v>1</v>
      </c>
      <c r="K1406" t="str">
        <f t="shared" si="45"/>
        <v>Row 149 - If ‘DG classification’ is ‘IMDG’ the ‘IMO Hazard Class’ and ‘UN Number’ is mandatory</v>
      </c>
    </row>
    <row r="1407" spans="7:11" x14ac:dyDescent="0.25">
      <c r="G1407" t="b">
        <f>IF(OR(INDEX(IHZ_HAZ_DGCLASSIFI,150,1)="IMDG",),AND(INDEX(IHZ_HAZ_IMOHAZARDC,150,1)&lt;&gt;"",INDEX(IHZ_HAZ_UNNUMBER,150,1)&lt;&gt;""),TRUE)</f>
        <v>1</v>
      </c>
      <c r="H1407" t="str">
        <f t="shared" si="44"/>
        <v>Row 150 - If ‘DG classification’ is ‘IMDG’ the ‘IMO Hazard Class’ and ‘UN Number’ is mandatory</v>
      </c>
      <c r="J1407" t="b">
        <f>IF(OR(INDEX(OHZ_HAZ_DGCLASSIFI,150,1)="IMDG",),AND(INDEX(OHZ_HAZ_IMOHAZARDC,150,1)&lt;&gt;"",INDEX(OHZ_HAZ_UNNUMBER,150,1)&lt;&gt;""),TRUE)</f>
        <v>1</v>
      </c>
      <c r="K1407" t="str">
        <f t="shared" si="45"/>
        <v>Row 150 - If ‘DG classification’ is ‘IMDG’ the ‘IMO Hazard Class’ and ‘UN Number’ is mandatory</v>
      </c>
    </row>
    <row r="1408" spans="7:11" x14ac:dyDescent="0.25">
      <c r="G1408" t="b">
        <f>IF(OR(INDEX(IHZ_HAZ_DGCLASSIFI,151,1)="IMDG",),AND(INDEX(IHZ_HAZ_IMOHAZARDC,151,1)&lt;&gt;"",INDEX(IHZ_HAZ_UNNUMBER,151,1)&lt;&gt;""),TRUE)</f>
        <v>1</v>
      </c>
      <c r="H1408" t="str">
        <f t="shared" si="44"/>
        <v>Row 151 - If ‘DG classification’ is ‘IMDG’ the ‘IMO Hazard Class’ and ‘UN Number’ is mandatory</v>
      </c>
      <c r="J1408" t="b">
        <f>IF(OR(INDEX(OHZ_HAZ_DGCLASSIFI,151,1)="IMDG",),AND(INDEX(OHZ_HAZ_IMOHAZARDC,151,1)&lt;&gt;"",INDEX(OHZ_HAZ_UNNUMBER,151,1)&lt;&gt;""),TRUE)</f>
        <v>1</v>
      </c>
      <c r="K1408" t="str">
        <f t="shared" si="45"/>
        <v>Row 151 - If ‘DG classification’ is ‘IMDG’ the ‘IMO Hazard Class’ and ‘UN Number’ is mandatory</v>
      </c>
    </row>
    <row r="1409" spans="7:11" x14ac:dyDescent="0.25">
      <c r="G1409" t="b">
        <f>IF(OR(INDEX(IHZ_HAZ_DGCLASSIFI,152,1)="IMDG",),AND(INDEX(IHZ_HAZ_IMOHAZARDC,152,1)&lt;&gt;"",INDEX(IHZ_HAZ_UNNUMBER,152,1)&lt;&gt;""),TRUE)</f>
        <v>1</v>
      </c>
      <c r="H1409" t="str">
        <f t="shared" si="44"/>
        <v>Row 152 - If ‘DG classification’ is ‘IMDG’ the ‘IMO Hazard Class’ and ‘UN Number’ is mandatory</v>
      </c>
      <c r="J1409" t="b">
        <f>IF(OR(INDEX(OHZ_HAZ_DGCLASSIFI,152,1)="IMDG",),AND(INDEX(OHZ_HAZ_IMOHAZARDC,152,1)&lt;&gt;"",INDEX(OHZ_HAZ_UNNUMBER,152,1)&lt;&gt;""),TRUE)</f>
        <v>1</v>
      </c>
      <c r="K1409" t="str">
        <f t="shared" si="45"/>
        <v>Row 152 - If ‘DG classification’ is ‘IMDG’ the ‘IMO Hazard Class’ and ‘UN Number’ is mandatory</v>
      </c>
    </row>
    <row r="1410" spans="7:11" x14ac:dyDescent="0.25">
      <c r="G1410" t="b">
        <f>IF(OR(INDEX(IHZ_HAZ_DGCLASSIFI,153,1)="IMDG",),AND(INDEX(IHZ_HAZ_IMOHAZARDC,153,1)&lt;&gt;"",INDEX(IHZ_HAZ_UNNUMBER,153,1)&lt;&gt;""),TRUE)</f>
        <v>1</v>
      </c>
      <c r="H1410" t="str">
        <f t="shared" si="44"/>
        <v>Row 153 - If ‘DG classification’ is ‘IMDG’ the ‘IMO Hazard Class’ and ‘UN Number’ is mandatory</v>
      </c>
      <c r="J1410" t="b">
        <f>IF(OR(INDEX(OHZ_HAZ_DGCLASSIFI,153,1)="IMDG",),AND(INDEX(OHZ_HAZ_IMOHAZARDC,153,1)&lt;&gt;"",INDEX(OHZ_HAZ_UNNUMBER,153,1)&lt;&gt;""),TRUE)</f>
        <v>1</v>
      </c>
      <c r="K1410" t="str">
        <f t="shared" si="45"/>
        <v>Row 153 - If ‘DG classification’ is ‘IMDG’ the ‘IMO Hazard Class’ and ‘UN Number’ is mandatory</v>
      </c>
    </row>
    <row r="1411" spans="7:11" x14ac:dyDescent="0.25">
      <c r="G1411" t="b">
        <f>IF(OR(INDEX(IHZ_HAZ_DGCLASSIFI,154,1)="IMDG",),AND(INDEX(IHZ_HAZ_IMOHAZARDC,154,1)&lt;&gt;"",INDEX(IHZ_HAZ_UNNUMBER,154,1)&lt;&gt;""),TRUE)</f>
        <v>1</v>
      </c>
      <c r="H1411" t="str">
        <f t="shared" si="44"/>
        <v>Row 154 - If ‘DG classification’ is ‘IMDG’ the ‘IMO Hazard Class’ and ‘UN Number’ is mandatory</v>
      </c>
      <c r="J1411" t="b">
        <f>IF(OR(INDEX(OHZ_HAZ_DGCLASSIFI,154,1)="IMDG",),AND(INDEX(OHZ_HAZ_IMOHAZARDC,154,1)&lt;&gt;"",INDEX(OHZ_HAZ_UNNUMBER,154,1)&lt;&gt;""),TRUE)</f>
        <v>1</v>
      </c>
      <c r="K1411" t="str">
        <f t="shared" si="45"/>
        <v>Row 154 - If ‘DG classification’ is ‘IMDG’ the ‘IMO Hazard Class’ and ‘UN Number’ is mandatory</v>
      </c>
    </row>
    <row r="1412" spans="7:11" x14ac:dyDescent="0.25">
      <c r="G1412" t="b">
        <f>IF(OR(INDEX(IHZ_HAZ_DGCLASSIFI,155,1)="IMDG",),AND(INDEX(IHZ_HAZ_IMOHAZARDC,155,1)&lt;&gt;"",INDEX(IHZ_HAZ_UNNUMBER,155,1)&lt;&gt;""),TRUE)</f>
        <v>1</v>
      </c>
      <c r="H1412" t="str">
        <f t="shared" si="44"/>
        <v>Row 155 - If ‘DG classification’ is ‘IMDG’ the ‘IMO Hazard Class’ and ‘UN Number’ is mandatory</v>
      </c>
      <c r="J1412" t="b">
        <f>IF(OR(INDEX(OHZ_HAZ_DGCLASSIFI,155,1)="IMDG",),AND(INDEX(OHZ_HAZ_IMOHAZARDC,155,1)&lt;&gt;"",INDEX(OHZ_HAZ_UNNUMBER,155,1)&lt;&gt;""),TRUE)</f>
        <v>1</v>
      </c>
      <c r="K1412" t="str">
        <f t="shared" si="45"/>
        <v>Row 155 - If ‘DG classification’ is ‘IMDG’ the ‘IMO Hazard Class’ and ‘UN Number’ is mandatory</v>
      </c>
    </row>
    <row r="1413" spans="7:11" x14ac:dyDescent="0.25">
      <c r="G1413" t="b">
        <f>IF(OR(INDEX(IHZ_HAZ_DGCLASSIFI,156,1)="IMDG",),AND(INDEX(IHZ_HAZ_IMOHAZARDC,156,1)&lt;&gt;"",INDEX(IHZ_HAZ_UNNUMBER,156,1)&lt;&gt;""),TRUE)</f>
        <v>1</v>
      </c>
      <c r="H1413" t="str">
        <f t="shared" si="44"/>
        <v>Row 156 - If ‘DG classification’ is ‘IMDG’ the ‘IMO Hazard Class’ and ‘UN Number’ is mandatory</v>
      </c>
      <c r="J1413" t="b">
        <f>IF(OR(INDEX(OHZ_HAZ_DGCLASSIFI,156,1)="IMDG",),AND(INDEX(OHZ_HAZ_IMOHAZARDC,156,1)&lt;&gt;"",INDEX(OHZ_HAZ_UNNUMBER,156,1)&lt;&gt;""),TRUE)</f>
        <v>1</v>
      </c>
      <c r="K1413" t="str">
        <f t="shared" si="45"/>
        <v>Row 156 - If ‘DG classification’ is ‘IMDG’ the ‘IMO Hazard Class’ and ‘UN Number’ is mandatory</v>
      </c>
    </row>
    <row r="1414" spans="7:11" x14ac:dyDescent="0.25">
      <c r="G1414" t="b">
        <f>IF(OR(INDEX(IHZ_HAZ_DGCLASSIFI,157,1)="IMDG",),AND(INDEX(IHZ_HAZ_IMOHAZARDC,157,1)&lt;&gt;"",INDEX(IHZ_HAZ_UNNUMBER,157,1)&lt;&gt;""),TRUE)</f>
        <v>1</v>
      </c>
      <c r="H1414" t="str">
        <f t="shared" si="44"/>
        <v>Row 157 - If ‘DG classification’ is ‘IMDG’ the ‘IMO Hazard Class’ and ‘UN Number’ is mandatory</v>
      </c>
      <c r="J1414" t="b">
        <f>IF(OR(INDEX(OHZ_HAZ_DGCLASSIFI,157,1)="IMDG",),AND(INDEX(OHZ_HAZ_IMOHAZARDC,157,1)&lt;&gt;"",INDEX(OHZ_HAZ_UNNUMBER,157,1)&lt;&gt;""),TRUE)</f>
        <v>1</v>
      </c>
      <c r="K1414" t="str">
        <f t="shared" si="45"/>
        <v>Row 157 - If ‘DG classification’ is ‘IMDG’ the ‘IMO Hazard Class’ and ‘UN Number’ is mandatory</v>
      </c>
    </row>
    <row r="1415" spans="7:11" x14ac:dyDescent="0.25">
      <c r="G1415" t="b">
        <f>IF(OR(INDEX(IHZ_HAZ_DGCLASSIFI,158,1)="IMDG",),AND(INDEX(IHZ_HAZ_IMOHAZARDC,158,1)&lt;&gt;"",INDEX(IHZ_HAZ_UNNUMBER,158,1)&lt;&gt;""),TRUE)</f>
        <v>1</v>
      </c>
      <c r="H1415" t="str">
        <f t="shared" si="44"/>
        <v>Row 158 - If ‘DG classification’ is ‘IMDG’ the ‘IMO Hazard Class’ and ‘UN Number’ is mandatory</v>
      </c>
      <c r="J1415" t="b">
        <f>IF(OR(INDEX(OHZ_HAZ_DGCLASSIFI,158,1)="IMDG",),AND(INDEX(OHZ_HAZ_IMOHAZARDC,158,1)&lt;&gt;"",INDEX(OHZ_HAZ_UNNUMBER,158,1)&lt;&gt;""),TRUE)</f>
        <v>1</v>
      </c>
      <c r="K1415" t="str">
        <f t="shared" si="45"/>
        <v>Row 158 - If ‘DG classification’ is ‘IMDG’ the ‘IMO Hazard Class’ and ‘UN Number’ is mandatory</v>
      </c>
    </row>
    <row r="1416" spans="7:11" x14ac:dyDescent="0.25">
      <c r="G1416" t="b">
        <f>IF(OR(INDEX(IHZ_HAZ_DGCLASSIFI,159,1)="IMDG",),AND(INDEX(IHZ_HAZ_IMOHAZARDC,159,1)&lt;&gt;"",INDEX(IHZ_HAZ_UNNUMBER,159,1)&lt;&gt;""),TRUE)</f>
        <v>1</v>
      </c>
      <c r="H1416" t="str">
        <f t="shared" si="44"/>
        <v>Row 159 - If ‘DG classification’ is ‘IMDG’ the ‘IMO Hazard Class’ and ‘UN Number’ is mandatory</v>
      </c>
      <c r="J1416" t="b">
        <f>IF(OR(INDEX(OHZ_HAZ_DGCLASSIFI,159,1)="IMDG",),AND(INDEX(OHZ_HAZ_IMOHAZARDC,159,1)&lt;&gt;"",INDEX(OHZ_HAZ_UNNUMBER,159,1)&lt;&gt;""),TRUE)</f>
        <v>1</v>
      </c>
      <c r="K1416" t="str">
        <f t="shared" si="45"/>
        <v>Row 159 - If ‘DG classification’ is ‘IMDG’ the ‘IMO Hazard Class’ and ‘UN Number’ is mandatory</v>
      </c>
    </row>
    <row r="1417" spans="7:11" x14ac:dyDescent="0.25">
      <c r="G1417" t="b">
        <f>IF(OR(INDEX(IHZ_HAZ_DGCLASSIFI,160,1)="IMDG",),AND(INDEX(IHZ_HAZ_IMOHAZARDC,160,1)&lt;&gt;"",INDEX(IHZ_HAZ_UNNUMBER,160,1)&lt;&gt;""),TRUE)</f>
        <v>1</v>
      </c>
      <c r="H1417" t="str">
        <f t="shared" si="44"/>
        <v>Row 160 - If ‘DG classification’ is ‘IMDG’ the ‘IMO Hazard Class’ and ‘UN Number’ is mandatory</v>
      </c>
      <c r="J1417" t="b">
        <f>IF(OR(INDEX(OHZ_HAZ_DGCLASSIFI,160,1)="IMDG",),AND(INDEX(OHZ_HAZ_IMOHAZARDC,160,1)&lt;&gt;"",INDEX(OHZ_HAZ_UNNUMBER,160,1)&lt;&gt;""),TRUE)</f>
        <v>1</v>
      </c>
      <c r="K1417" t="str">
        <f t="shared" si="45"/>
        <v>Row 160 - If ‘DG classification’ is ‘IMDG’ the ‘IMO Hazard Class’ and ‘UN Number’ is mandatory</v>
      </c>
    </row>
    <row r="1418" spans="7:11" x14ac:dyDescent="0.25">
      <c r="G1418" t="b">
        <f>IF(OR(INDEX(IHZ_HAZ_DGCLASSIFI,161,1)="IMDG",),AND(INDEX(IHZ_HAZ_IMOHAZARDC,161,1)&lt;&gt;"",INDEX(IHZ_HAZ_UNNUMBER,161,1)&lt;&gt;""),TRUE)</f>
        <v>1</v>
      </c>
      <c r="H1418" t="str">
        <f t="shared" si="44"/>
        <v>Row 161 - If ‘DG classification’ is ‘IMDG’ the ‘IMO Hazard Class’ and ‘UN Number’ is mandatory</v>
      </c>
      <c r="J1418" t="b">
        <f>IF(OR(INDEX(OHZ_HAZ_DGCLASSIFI,161,1)="IMDG",),AND(INDEX(OHZ_HAZ_IMOHAZARDC,161,1)&lt;&gt;"",INDEX(OHZ_HAZ_UNNUMBER,161,1)&lt;&gt;""),TRUE)</f>
        <v>1</v>
      </c>
      <c r="K1418" t="str">
        <f t="shared" si="45"/>
        <v>Row 161 - If ‘DG classification’ is ‘IMDG’ the ‘IMO Hazard Class’ and ‘UN Number’ is mandatory</v>
      </c>
    </row>
    <row r="1419" spans="7:11" x14ac:dyDescent="0.25">
      <c r="G1419" t="b">
        <f>IF(OR(INDEX(IHZ_HAZ_DGCLASSIFI,162,1)="IMDG",),AND(INDEX(IHZ_HAZ_IMOHAZARDC,162,1)&lt;&gt;"",INDEX(IHZ_HAZ_UNNUMBER,162,1)&lt;&gt;""),TRUE)</f>
        <v>1</v>
      </c>
      <c r="H1419" t="str">
        <f t="shared" si="44"/>
        <v>Row 162 - If ‘DG classification’ is ‘IMDG’ the ‘IMO Hazard Class’ and ‘UN Number’ is mandatory</v>
      </c>
      <c r="J1419" t="b">
        <f>IF(OR(INDEX(OHZ_HAZ_DGCLASSIFI,162,1)="IMDG",),AND(INDEX(OHZ_HAZ_IMOHAZARDC,162,1)&lt;&gt;"",INDEX(OHZ_HAZ_UNNUMBER,162,1)&lt;&gt;""),TRUE)</f>
        <v>1</v>
      </c>
      <c r="K1419" t="str">
        <f t="shared" si="45"/>
        <v>Row 162 - If ‘DG classification’ is ‘IMDG’ the ‘IMO Hazard Class’ and ‘UN Number’ is mandatory</v>
      </c>
    </row>
    <row r="1420" spans="7:11" x14ac:dyDescent="0.25">
      <c r="G1420" t="b">
        <f>IF(OR(INDEX(IHZ_HAZ_DGCLASSIFI,163,1)="IMDG",),AND(INDEX(IHZ_HAZ_IMOHAZARDC,163,1)&lt;&gt;"",INDEX(IHZ_HAZ_UNNUMBER,163,1)&lt;&gt;""),TRUE)</f>
        <v>1</v>
      </c>
      <c r="H1420" t="str">
        <f t="shared" si="44"/>
        <v>Row 163 - If ‘DG classification’ is ‘IMDG’ the ‘IMO Hazard Class’ and ‘UN Number’ is mandatory</v>
      </c>
      <c r="J1420" t="b">
        <f>IF(OR(INDEX(OHZ_HAZ_DGCLASSIFI,163,1)="IMDG",),AND(INDEX(OHZ_HAZ_IMOHAZARDC,163,1)&lt;&gt;"",INDEX(OHZ_HAZ_UNNUMBER,163,1)&lt;&gt;""),TRUE)</f>
        <v>1</v>
      </c>
      <c r="K1420" t="str">
        <f t="shared" si="45"/>
        <v>Row 163 - If ‘DG classification’ is ‘IMDG’ the ‘IMO Hazard Class’ and ‘UN Number’ is mandatory</v>
      </c>
    </row>
    <row r="1421" spans="7:11" x14ac:dyDescent="0.25">
      <c r="G1421" t="b">
        <f>IF(OR(INDEX(IHZ_HAZ_DGCLASSIFI,164,1)="IMDG",),AND(INDEX(IHZ_HAZ_IMOHAZARDC,164,1)&lt;&gt;"",INDEX(IHZ_HAZ_UNNUMBER,164,1)&lt;&gt;""),TRUE)</f>
        <v>1</v>
      </c>
      <c r="H1421" t="str">
        <f t="shared" si="44"/>
        <v>Row 164 - If ‘DG classification’ is ‘IMDG’ the ‘IMO Hazard Class’ and ‘UN Number’ is mandatory</v>
      </c>
      <c r="J1421" t="b">
        <f>IF(OR(INDEX(OHZ_HAZ_DGCLASSIFI,164,1)="IMDG",),AND(INDEX(OHZ_HAZ_IMOHAZARDC,164,1)&lt;&gt;"",INDEX(OHZ_HAZ_UNNUMBER,164,1)&lt;&gt;""),TRUE)</f>
        <v>1</v>
      </c>
      <c r="K1421" t="str">
        <f t="shared" si="45"/>
        <v>Row 164 - If ‘DG classification’ is ‘IMDG’ the ‘IMO Hazard Class’ and ‘UN Number’ is mandatory</v>
      </c>
    </row>
    <row r="1422" spans="7:11" x14ac:dyDescent="0.25">
      <c r="G1422" t="b">
        <f>IF(OR(INDEX(IHZ_HAZ_DGCLASSIFI,165,1)="IMDG",),AND(INDEX(IHZ_HAZ_IMOHAZARDC,165,1)&lt;&gt;"",INDEX(IHZ_HAZ_UNNUMBER,165,1)&lt;&gt;""),TRUE)</f>
        <v>1</v>
      </c>
      <c r="H1422" t="str">
        <f t="shared" si="44"/>
        <v>Row 165 - If ‘DG classification’ is ‘IMDG’ the ‘IMO Hazard Class’ and ‘UN Number’ is mandatory</v>
      </c>
      <c r="J1422" t="b">
        <f>IF(OR(INDEX(OHZ_HAZ_DGCLASSIFI,165,1)="IMDG",),AND(INDEX(OHZ_HAZ_IMOHAZARDC,165,1)&lt;&gt;"",INDEX(OHZ_HAZ_UNNUMBER,165,1)&lt;&gt;""),TRUE)</f>
        <v>1</v>
      </c>
      <c r="K1422" t="str">
        <f t="shared" si="45"/>
        <v>Row 165 - If ‘DG classification’ is ‘IMDG’ the ‘IMO Hazard Class’ and ‘UN Number’ is mandatory</v>
      </c>
    </row>
    <row r="1423" spans="7:11" x14ac:dyDescent="0.25">
      <c r="G1423" t="b">
        <f>IF(OR(INDEX(IHZ_HAZ_DGCLASSIFI,166,1)="IMDG",),AND(INDEX(IHZ_HAZ_IMOHAZARDC,166,1)&lt;&gt;"",INDEX(IHZ_HAZ_UNNUMBER,166,1)&lt;&gt;""),TRUE)</f>
        <v>1</v>
      </c>
      <c r="H1423" t="str">
        <f t="shared" si="44"/>
        <v>Row 166 - If ‘DG classification’ is ‘IMDG’ the ‘IMO Hazard Class’ and ‘UN Number’ is mandatory</v>
      </c>
      <c r="J1423" t="b">
        <f>IF(OR(INDEX(OHZ_HAZ_DGCLASSIFI,166,1)="IMDG",),AND(INDEX(OHZ_HAZ_IMOHAZARDC,166,1)&lt;&gt;"",INDEX(OHZ_HAZ_UNNUMBER,166,1)&lt;&gt;""),TRUE)</f>
        <v>1</v>
      </c>
      <c r="K1423" t="str">
        <f t="shared" si="45"/>
        <v>Row 166 - If ‘DG classification’ is ‘IMDG’ the ‘IMO Hazard Class’ and ‘UN Number’ is mandatory</v>
      </c>
    </row>
    <row r="1424" spans="7:11" x14ac:dyDescent="0.25">
      <c r="G1424" t="b">
        <f>IF(OR(INDEX(IHZ_HAZ_DGCLASSIFI,167,1)="IMDG",),AND(INDEX(IHZ_HAZ_IMOHAZARDC,167,1)&lt;&gt;"",INDEX(IHZ_HAZ_UNNUMBER,167,1)&lt;&gt;""),TRUE)</f>
        <v>1</v>
      </c>
      <c r="H1424" t="str">
        <f t="shared" si="44"/>
        <v>Row 167 - If ‘DG classification’ is ‘IMDG’ the ‘IMO Hazard Class’ and ‘UN Number’ is mandatory</v>
      </c>
      <c r="J1424" t="b">
        <f>IF(OR(INDEX(OHZ_HAZ_DGCLASSIFI,167,1)="IMDG",),AND(INDEX(OHZ_HAZ_IMOHAZARDC,167,1)&lt;&gt;"",INDEX(OHZ_HAZ_UNNUMBER,167,1)&lt;&gt;""),TRUE)</f>
        <v>1</v>
      </c>
      <c r="K1424" t="str">
        <f t="shared" si="45"/>
        <v>Row 167 - If ‘DG classification’ is ‘IMDG’ the ‘IMO Hazard Class’ and ‘UN Number’ is mandatory</v>
      </c>
    </row>
    <row r="1425" spans="7:11" x14ac:dyDescent="0.25">
      <c r="G1425" t="b">
        <f>IF(OR(INDEX(IHZ_HAZ_DGCLASSIFI,168,1)="IMDG",),AND(INDEX(IHZ_HAZ_IMOHAZARDC,168,1)&lt;&gt;"",INDEX(IHZ_HAZ_UNNUMBER,168,1)&lt;&gt;""),TRUE)</f>
        <v>1</v>
      </c>
      <c r="H1425" t="str">
        <f t="shared" si="44"/>
        <v>Row 168 - If ‘DG classification’ is ‘IMDG’ the ‘IMO Hazard Class’ and ‘UN Number’ is mandatory</v>
      </c>
      <c r="J1425" t="b">
        <f>IF(OR(INDEX(OHZ_HAZ_DGCLASSIFI,168,1)="IMDG",),AND(INDEX(OHZ_HAZ_IMOHAZARDC,168,1)&lt;&gt;"",INDEX(OHZ_HAZ_UNNUMBER,168,1)&lt;&gt;""),TRUE)</f>
        <v>1</v>
      </c>
      <c r="K1425" t="str">
        <f t="shared" si="45"/>
        <v>Row 168 - If ‘DG classification’ is ‘IMDG’ the ‘IMO Hazard Class’ and ‘UN Number’ is mandatory</v>
      </c>
    </row>
    <row r="1426" spans="7:11" x14ac:dyDescent="0.25">
      <c r="G1426" t="b">
        <f>IF(OR(INDEX(IHZ_HAZ_DGCLASSIFI,169,1)="IMDG",),AND(INDEX(IHZ_HAZ_IMOHAZARDC,169,1)&lt;&gt;"",INDEX(IHZ_HAZ_UNNUMBER,169,1)&lt;&gt;""),TRUE)</f>
        <v>1</v>
      </c>
      <c r="H1426" t="str">
        <f t="shared" si="44"/>
        <v>Row 169 - If ‘DG classification’ is ‘IMDG’ the ‘IMO Hazard Class’ and ‘UN Number’ is mandatory</v>
      </c>
      <c r="J1426" t="b">
        <f>IF(OR(INDEX(OHZ_HAZ_DGCLASSIFI,169,1)="IMDG",),AND(INDEX(OHZ_HAZ_IMOHAZARDC,169,1)&lt;&gt;"",INDEX(OHZ_HAZ_UNNUMBER,169,1)&lt;&gt;""),TRUE)</f>
        <v>1</v>
      </c>
      <c r="K1426" t="str">
        <f t="shared" si="45"/>
        <v>Row 169 - If ‘DG classification’ is ‘IMDG’ the ‘IMO Hazard Class’ and ‘UN Number’ is mandatory</v>
      </c>
    </row>
    <row r="1427" spans="7:11" x14ac:dyDescent="0.25">
      <c r="G1427" t="b">
        <f>IF(OR(INDEX(IHZ_HAZ_DGCLASSIFI,170,1)="IMDG",),AND(INDEX(IHZ_HAZ_IMOHAZARDC,170,1)&lt;&gt;"",INDEX(IHZ_HAZ_UNNUMBER,170,1)&lt;&gt;""),TRUE)</f>
        <v>1</v>
      </c>
      <c r="H1427" t="str">
        <f t="shared" si="44"/>
        <v>Row 170 - If ‘DG classification’ is ‘IMDG’ the ‘IMO Hazard Class’ and ‘UN Number’ is mandatory</v>
      </c>
      <c r="J1427" t="b">
        <f>IF(OR(INDEX(OHZ_HAZ_DGCLASSIFI,170,1)="IMDG",),AND(INDEX(OHZ_HAZ_IMOHAZARDC,170,1)&lt;&gt;"",INDEX(OHZ_HAZ_UNNUMBER,170,1)&lt;&gt;""),TRUE)</f>
        <v>1</v>
      </c>
      <c r="K1427" t="str">
        <f t="shared" si="45"/>
        <v>Row 170 - If ‘DG classification’ is ‘IMDG’ the ‘IMO Hazard Class’ and ‘UN Number’ is mandatory</v>
      </c>
    </row>
    <row r="1428" spans="7:11" x14ac:dyDescent="0.25">
      <c r="G1428" t="b">
        <f>IF(OR(INDEX(IHZ_HAZ_DGCLASSIFI,171,1)="IMDG",),AND(INDEX(IHZ_HAZ_IMOHAZARDC,171,1)&lt;&gt;"",INDEX(IHZ_HAZ_UNNUMBER,171,1)&lt;&gt;""),TRUE)</f>
        <v>1</v>
      </c>
      <c r="H1428" t="str">
        <f t="shared" si="44"/>
        <v>Row 171 - If ‘DG classification’ is ‘IMDG’ the ‘IMO Hazard Class’ and ‘UN Number’ is mandatory</v>
      </c>
      <c r="J1428" t="b">
        <f>IF(OR(INDEX(OHZ_HAZ_DGCLASSIFI,171,1)="IMDG",),AND(INDEX(OHZ_HAZ_IMOHAZARDC,171,1)&lt;&gt;"",INDEX(OHZ_HAZ_UNNUMBER,171,1)&lt;&gt;""),TRUE)</f>
        <v>1</v>
      </c>
      <c r="K1428" t="str">
        <f t="shared" si="45"/>
        <v>Row 171 - If ‘DG classification’ is ‘IMDG’ the ‘IMO Hazard Class’ and ‘UN Number’ is mandatory</v>
      </c>
    </row>
    <row r="1429" spans="7:11" x14ac:dyDescent="0.25">
      <c r="G1429" t="b">
        <f>IF(OR(INDEX(IHZ_HAZ_DGCLASSIFI,172,1)="IMDG",),AND(INDEX(IHZ_HAZ_IMOHAZARDC,172,1)&lt;&gt;"",INDEX(IHZ_HAZ_UNNUMBER,172,1)&lt;&gt;""),TRUE)</f>
        <v>1</v>
      </c>
      <c r="H1429" t="str">
        <f t="shared" si="44"/>
        <v>Row 172 - If ‘DG classification’ is ‘IMDG’ the ‘IMO Hazard Class’ and ‘UN Number’ is mandatory</v>
      </c>
      <c r="J1429" t="b">
        <f>IF(OR(INDEX(OHZ_HAZ_DGCLASSIFI,172,1)="IMDG",),AND(INDEX(OHZ_HAZ_IMOHAZARDC,172,1)&lt;&gt;"",INDEX(OHZ_HAZ_UNNUMBER,172,1)&lt;&gt;""),TRUE)</f>
        <v>1</v>
      </c>
      <c r="K1429" t="str">
        <f t="shared" si="45"/>
        <v>Row 172 - If ‘DG classification’ is ‘IMDG’ the ‘IMO Hazard Class’ and ‘UN Number’ is mandatory</v>
      </c>
    </row>
    <row r="1430" spans="7:11" x14ac:dyDescent="0.25">
      <c r="G1430" t="b">
        <f>IF(OR(INDEX(IHZ_HAZ_DGCLASSIFI,173,1)="IMDG",),AND(INDEX(IHZ_HAZ_IMOHAZARDC,173,1)&lt;&gt;"",INDEX(IHZ_HAZ_UNNUMBER,173,1)&lt;&gt;""),TRUE)</f>
        <v>1</v>
      </c>
      <c r="H1430" t="str">
        <f t="shared" si="44"/>
        <v>Row 173 - If ‘DG classification’ is ‘IMDG’ the ‘IMO Hazard Class’ and ‘UN Number’ is mandatory</v>
      </c>
      <c r="J1430" t="b">
        <f>IF(OR(INDEX(OHZ_HAZ_DGCLASSIFI,173,1)="IMDG",),AND(INDEX(OHZ_HAZ_IMOHAZARDC,173,1)&lt;&gt;"",INDEX(OHZ_HAZ_UNNUMBER,173,1)&lt;&gt;""),TRUE)</f>
        <v>1</v>
      </c>
      <c r="K1430" t="str">
        <f t="shared" si="45"/>
        <v>Row 173 - If ‘DG classification’ is ‘IMDG’ the ‘IMO Hazard Class’ and ‘UN Number’ is mandatory</v>
      </c>
    </row>
    <row r="1431" spans="7:11" x14ac:dyDescent="0.25">
      <c r="G1431" t="b">
        <f>IF(OR(INDEX(IHZ_HAZ_DGCLASSIFI,174,1)="IMDG",),AND(INDEX(IHZ_HAZ_IMOHAZARDC,174,1)&lt;&gt;"",INDEX(IHZ_HAZ_UNNUMBER,174,1)&lt;&gt;""),TRUE)</f>
        <v>1</v>
      </c>
      <c r="H1431" t="str">
        <f t="shared" si="44"/>
        <v>Row 174 - If ‘DG classification’ is ‘IMDG’ the ‘IMO Hazard Class’ and ‘UN Number’ is mandatory</v>
      </c>
      <c r="J1431" t="b">
        <f>IF(OR(INDEX(OHZ_HAZ_DGCLASSIFI,174,1)="IMDG",),AND(INDEX(OHZ_HAZ_IMOHAZARDC,174,1)&lt;&gt;"",INDEX(OHZ_HAZ_UNNUMBER,174,1)&lt;&gt;""),TRUE)</f>
        <v>1</v>
      </c>
      <c r="K1431" t="str">
        <f t="shared" si="45"/>
        <v>Row 174 - If ‘DG classification’ is ‘IMDG’ the ‘IMO Hazard Class’ and ‘UN Number’ is mandatory</v>
      </c>
    </row>
    <row r="1432" spans="7:11" x14ac:dyDescent="0.25">
      <c r="G1432" t="b">
        <f>IF(OR(INDEX(IHZ_HAZ_DGCLASSIFI,175,1)="IMDG",),AND(INDEX(IHZ_HAZ_IMOHAZARDC,175,1)&lt;&gt;"",INDEX(IHZ_HAZ_UNNUMBER,175,1)&lt;&gt;""),TRUE)</f>
        <v>1</v>
      </c>
      <c r="H1432" t="str">
        <f t="shared" si="44"/>
        <v>Row 175 - If ‘DG classification’ is ‘IMDG’ the ‘IMO Hazard Class’ and ‘UN Number’ is mandatory</v>
      </c>
      <c r="J1432" t="b">
        <f>IF(OR(INDEX(OHZ_HAZ_DGCLASSIFI,175,1)="IMDG",),AND(INDEX(OHZ_HAZ_IMOHAZARDC,175,1)&lt;&gt;"",INDEX(OHZ_HAZ_UNNUMBER,175,1)&lt;&gt;""),TRUE)</f>
        <v>1</v>
      </c>
      <c r="K1432" t="str">
        <f t="shared" si="45"/>
        <v>Row 175 - If ‘DG classification’ is ‘IMDG’ the ‘IMO Hazard Class’ and ‘UN Number’ is mandatory</v>
      </c>
    </row>
    <row r="1433" spans="7:11" x14ac:dyDescent="0.25">
      <c r="G1433" t="b">
        <f>IF(OR(INDEX(IHZ_HAZ_DGCLASSIFI,176,1)="IMDG",),AND(INDEX(IHZ_HAZ_IMOHAZARDC,176,1)&lt;&gt;"",INDEX(IHZ_HAZ_UNNUMBER,176,1)&lt;&gt;""),TRUE)</f>
        <v>1</v>
      </c>
      <c r="H1433" t="str">
        <f t="shared" si="44"/>
        <v>Row 176 - If ‘DG classification’ is ‘IMDG’ the ‘IMO Hazard Class’ and ‘UN Number’ is mandatory</v>
      </c>
      <c r="J1433" t="b">
        <f>IF(OR(INDEX(OHZ_HAZ_DGCLASSIFI,176,1)="IMDG",),AND(INDEX(OHZ_HAZ_IMOHAZARDC,176,1)&lt;&gt;"",INDEX(OHZ_HAZ_UNNUMBER,176,1)&lt;&gt;""),TRUE)</f>
        <v>1</v>
      </c>
      <c r="K1433" t="str">
        <f t="shared" si="45"/>
        <v>Row 176 - If ‘DG classification’ is ‘IMDG’ the ‘IMO Hazard Class’ and ‘UN Number’ is mandatory</v>
      </c>
    </row>
    <row r="1434" spans="7:11" x14ac:dyDescent="0.25">
      <c r="G1434" t="b">
        <f>IF(OR(INDEX(IHZ_HAZ_DGCLASSIFI,177,1)="IMDG",),AND(INDEX(IHZ_HAZ_IMOHAZARDC,177,1)&lt;&gt;"",INDEX(IHZ_HAZ_UNNUMBER,177,1)&lt;&gt;""),TRUE)</f>
        <v>1</v>
      </c>
      <c r="H1434" t="str">
        <f t="shared" si="44"/>
        <v>Row 177 - If ‘DG classification’ is ‘IMDG’ the ‘IMO Hazard Class’ and ‘UN Number’ is mandatory</v>
      </c>
      <c r="J1434" t="b">
        <f>IF(OR(INDEX(OHZ_HAZ_DGCLASSIFI,177,1)="IMDG",),AND(INDEX(OHZ_HAZ_IMOHAZARDC,177,1)&lt;&gt;"",INDEX(OHZ_HAZ_UNNUMBER,177,1)&lt;&gt;""),TRUE)</f>
        <v>1</v>
      </c>
      <c r="K1434" t="str">
        <f t="shared" si="45"/>
        <v>Row 177 - If ‘DG classification’ is ‘IMDG’ the ‘IMO Hazard Class’ and ‘UN Number’ is mandatory</v>
      </c>
    </row>
    <row r="1435" spans="7:11" x14ac:dyDescent="0.25">
      <c r="G1435" t="b">
        <f>IF(OR(INDEX(IHZ_HAZ_DGCLASSIFI,178,1)="IMDG",),AND(INDEX(IHZ_HAZ_IMOHAZARDC,178,1)&lt;&gt;"",INDEX(IHZ_HAZ_UNNUMBER,178,1)&lt;&gt;""),TRUE)</f>
        <v>1</v>
      </c>
      <c r="H1435" t="str">
        <f t="shared" si="44"/>
        <v>Row 178 - If ‘DG classification’ is ‘IMDG’ the ‘IMO Hazard Class’ and ‘UN Number’ is mandatory</v>
      </c>
      <c r="J1435" t="b">
        <f>IF(OR(INDEX(OHZ_HAZ_DGCLASSIFI,178,1)="IMDG",),AND(INDEX(OHZ_HAZ_IMOHAZARDC,178,1)&lt;&gt;"",INDEX(OHZ_HAZ_UNNUMBER,178,1)&lt;&gt;""),TRUE)</f>
        <v>1</v>
      </c>
      <c r="K1435" t="str">
        <f t="shared" si="45"/>
        <v>Row 178 - If ‘DG classification’ is ‘IMDG’ the ‘IMO Hazard Class’ and ‘UN Number’ is mandatory</v>
      </c>
    </row>
    <row r="1436" spans="7:11" x14ac:dyDescent="0.25">
      <c r="G1436" t="b">
        <f>IF(OR(INDEX(IHZ_HAZ_DGCLASSIFI,179,1)="IMDG",),AND(INDEX(IHZ_HAZ_IMOHAZARDC,179,1)&lt;&gt;"",INDEX(IHZ_HAZ_UNNUMBER,179,1)&lt;&gt;""),TRUE)</f>
        <v>1</v>
      </c>
      <c r="H1436" t="str">
        <f t="shared" si="44"/>
        <v>Row 179 - If ‘DG classification’ is ‘IMDG’ the ‘IMO Hazard Class’ and ‘UN Number’ is mandatory</v>
      </c>
      <c r="J1436" t="b">
        <f>IF(OR(INDEX(OHZ_HAZ_DGCLASSIFI,179,1)="IMDG",),AND(INDEX(OHZ_HAZ_IMOHAZARDC,179,1)&lt;&gt;"",INDEX(OHZ_HAZ_UNNUMBER,179,1)&lt;&gt;""),TRUE)</f>
        <v>1</v>
      </c>
      <c r="K1436" t="str">
        <f t="shared" si="45"/>
        <v>Row 179 - If ‘DG classification’ is ‘IMDG’ the ‘IMO Hazard Class’ and ‘UN Number’ is mandatory</v>
      </c>
    </row>
    <row r="1437" spans="7:11" x14ac:dyDescent="0.25">
      <c r="G1437" t="b">
        <f>IF(OR(INDEX(IHZ_HAZ_DGCLASSIFI,180,1)="IMDG",),AND(INDEX(IHZ_HAZ_IMOHAZARDC,180,1)&lt;&gt;"",INDEX(IHZ_HAZ_UNNUMBER,180,1)&lt;&gt;""),TRUE)</f>
        <v>1</v>
      </c>
      <c r="H1437" t="str">
        <f t="shared" si="44"/>
        <v>Row 180 - If ‘DG classification’ is ‘IMDG’ the ‘IMO Hazard Class’ and ‘UN Number’ is mandatory</v>
      </c>
      <c r="J1437" t="b">
        <f>IF(OR(INDEX(OHZ_HAZ_DGCLASSIFI,180,1)="IMDG",),AND(INDEX(OHZ_HAZ_IMOHAZARDC,180,1)&lt;&gt;"",INDEX(OHZ_HAZ_UNNUMBER,180,1)&lt;&gt;""),TRUE)</f>
        <v>1</v>
      </c>
      <c r="K1437" t="str">
        <f t="shared" si="45"/>
        <v>Row 180 - If ‘DG classification’ is ‘IMDG’ the ‘IMO Hazard Class’ and ‘UN Number’ is mandatory</v>
      </c>
    </row>
    <row r="1438" spans="7:11" x14ac:dyDescent="0.25">
      <c r="G1438" t="b">
        <f>IF(OR(INDEX(IHZ_HAZ_DGCLASSIFI,181,1)="IMDG",),AND(INDEX(IHZ_HAZ_IMOHAZARDC,181,1)&lt;&gt;"",INDEX(IHZ_HAZ_UNNUMBER,181,1)&lt;&gt;""),TRUE)</f>
        <v>1</v>
      </c>
      <c r="H1438" t="str">
        <f t="shared" si="44"/>
        <v>Row 181 - If ‘DG classification’ is ‘IMDG’ the ‘IMO Hazard Class’ and ‘UN Number’ is mandatory</v>
      </c>
      <c r="J1438" t="b">
        <f>IF(OR(INDEX(OHZ_HAZ_DGCLASSIFI,181,1)="IMDG",),AND(INDEX(OHZ_HAZ_IMOHAZARDC,181,1)&lt;&gt;"",INDEX(OHZ_HAZ_UNNUMBER,181,1)&lt;&gt;""),TRUE)</f>
        <v>1</v>
      </c>
      <c r="K1438" t="str">
        <f t="shared" si="45"/>
        <v>Row 181 - If ‘DG classification’ is ‘IMDG’ the ‘IMO Hazard Class’ and ‘UN Number’ is mandatory</v>
      </c>
    </row>
    <row r="1439" spans="7:11" x14ac:dyDescent="0.25">
      <c r="G1439" t="b">
        <f>IF(OR(INDEX(IHZ_HAZ_DGCLASSIFI,182,1)="IMDG",),AND(INDEX(IHZ_HAZ_IMOHAZARDC,182,1)&lt;&gt;"",INDEX(IHZ_HAZ_UNNUMBER,182,1)&lt;&gt;""),TRUE)</f>
        <v>1</v>
      </c>
      <c r="H1439" t="str">
        <f t="shared" si="44"/>
        <v>Row 182 - If ‘DG classification’ is ‘IMDG’ the ‘IMO Hazard Class’ and ‘UN Number’ is mandatory</v>
      </c>
      <c r="J1439" t="b">
        <f>IF(OR(INDEX(OHZ_HAZ_DGCLASSIFI,182,1)="IMDG",),AND(INDEX(OHZ_HAZ_IMOHAZARDC,182,1)&lt;&gt;"",INDEX(OHZ_HAZ_UNNUMBER,182,1)&lt;&gt;""),TRUE)</f>
        <v>1</v>
      </c>
      <c r="K1439" t="str">
        <f t="shared" si="45"/>
        <v>Row 182 - If ‘DG classification’ is ‘IMDG’ the ‘IMO Hazard Class’ and ‘UN Number’ is mandatory</v>
      </c>
    </row>
    <row r="1440" spans="7:11" x14ac:dyDescent="0.25">
      <c r="G1440" t="b">
        <f>IF(OR(INDEX(IHZ_HAZ_DGCLASSIFI,183,1)="IMDG",),AND(INDEX(IHZ_HAZ_IMOHAZARDC,183,1)&lt;&gt;"",INDEX(IHZ_HAZ_UNNUMBER,183,1)&lt;&gt;""),TRUE)</f>
        <v>1</v>
      </c>
      <c r="H1440" t="str">
        <f t="shared" si="44"/>
        <v>Row 183 - If ‘DG classification’ is ‘IMDG’ the ‘IMO Hazard Class’ and ‘UN Number’ is mandatory</v>
      </c>
      <c r="J1440" t="b">
        <f>IF(OR(INDEX(OHZ_HAZ_DGCLASSIFI,183,1)="IMDG",),AND(INDEX(OHZ_HAZ_IMOHAZARDC,183,1)&lt;&gt;"",INDEX(OHZ_HAZ_UNNUMBER,183,1)&lt;&gt;""),TRUE)</f>
        <v>1</v>
      </c>
      <c r="K1440" t="str">
        <f t="shared" si="45"/>
        <v>Row 183 - If ‘DG classification’ is ‘IMDG’ the ‘IMO Hazard Class’ and ‘UN Number’ is mandatory</v>
      </c>
    </row>
    <row r="1441" spans="7:11" x14ac:dyDescent="0.25">
      <c r="G1441" t="b">
        <f>IF(OR(INDEX(IHZ_HAZ_DGCLASSIFI,184,1)="IMDG",),AND(INDEX(IHZ_HAZ_IMOHAZARDC,184,1)&lt;&gt;"",INDEX(IHZ_HAZ_UNNUMBER,184,1)&lt;&gt;""),TRUE)</f>
        <v>1</v>
      </c>
      <c r="H1441" t="str">
        <f t="shared" si="44"/>
        <v>Row 184 - If ‘DG classification’ is ‘IMDG’ the ‘IMO Hazard Class’ and ‘UN Number’ is mandatory</v>
      </c>
      <c r="J1441" t="b">
        <f>IF(OR(INDEX(OHZ_HAZ_DGCLASSIFI,184,1)="IMDG",),AND(INDEX(OHZ_HAZ_IMOHAZARDC,184,1)&lt;&gt;"",INDEX(OHZ_HAZ_UNNUMBER,184,1)&lt;&gt;""),TRUE)</f>
        <v>1</v>
      </c>
      <c r="K1441" t="str">
        <f t="shared" si="45"/>
        <v>Row 184 - If ‘DG classification’ is ‘IMDG’ the ‘IMO Hazard Class’ and ‘UN Number’ is mandatory</v>
      </c>
    </row>
    <row r="1442" spans="7:11" x14ac:dyDescent="0.25">
      <c r="G1442" t="b">
        <f>IF(OR(INDEX(IHZ_HAZ_DGCLASSIFI,185,1)="IMDG",),AND(INDEX(IHZ_HAZ_IMOHAZARDC,185,1)&lt;&gt;"",INDEX(IHZ_HAZ_UNNUMBER,185,1)&lt;&gt;""),TRUE)</f>
        <v>1</v>
      </c>
      <c r="H1442" t="str">
        <f t="shared" si="44"/>
        <v>Row 185 - If ‘DG classification’ is ‘IMDG’ the ‘IMO Hazard Class’ and ‘UN Number’ is mandatory</v>
      </c>
      <c r="J1442" t="b">
        <f>IF(OR(INDEX(OHZ_HAZ_DGCLASSIFI,185,1)="IMDG",),AND(INDEX(OHZ_HAZ_IMOHAZARDC,185,1)&lt;&gt;"",INDEX(OHZ_HAZ_UNNUMBER,185,1)&lt;&gt;""),TRUE)</f>
        <v>1</v>
      </c>
      <c r="K1442" t="str">
        <f t="shared" si="45"/>
        <v>Row 185 - If ‘DG classification’ is ‘IMDG’ the ‘IMO Hazard Class’ and ‘UN Number’ is mandatory</v>
      </c>
    </row>
    <row r="1443" spans="7:11" x14ac:dyDescent="0.25">
      <c r="G1443" t="b">
        <f>IF(OR(INDEX(IHZ_HAZ_DGCLASSIFI,186,1)="IMDG",),AND(INDEX(IHZ_HAZ_IMOHAZARDC,186,1)&lt;&gt;"",INDEX(IHZ_HAZ_UNNUMBER,186,1)&lt;&gt;""),TRUE)</f>
        <v>1</v>
      </c>
      <c r="H1443" t="str">
        <f t="shared" si="44"/>
        <v>Row 186 - If ‘DG classification’ is ‘IMDG’ the ‘IMO Hazard Class’ and ‘UN Number’ is mandatory</v>
      </c>
      <c r="J1443" t="b">
        <f>IF(OR(INDEX(OHZ_HAZ_DGCLASSIFI,186,1)="IMDG",),AND(INDEX(OHZ_HAZ_IMOHAZARDC,186,1)&lt;&gt;"",INDEX(OHZ_HAZ_UNNUMBER,186,1)&lt;&gt;""),TRUE)</f>
        <v>1</v>
      </c>
      <c r="K1443" t="str">
        <f t="shared" si="45"/>
        <v>Row 186 - If ‘DG classification’ is ‘IMDG’ the ‘IMO Hazard Class’ and ‘UN Number’ is mandatory</v>
      </c>
    </row>
    <row r="1444" spans="7:11" x14ac:dyDescent="0.25">
      <c r="G1444" t="b">
        <f>IF(OR(INDEX(IHZ_HAZ_DGCLASSIFI,187,1)="IMDG",),AND(INDEX(IHZ_HAZ_IMOHAZARDC,187,1)&lt;&gt;"",INDEX(IHZ_HAZ_UNNUMBER,187,1)&lt;&gt;""),TRUE)</f>
        <v>1</v>
      </c>
      <c r="H1444" t="str">
        <f t="shared" si="44"/>
        <v>Row 187 - If ‘DG classification’ is ‘IMDG’ the ‘IMO Hazard Class’ and ‘UN Number’ is mandatory</v>
      </c>
      <c r="J1444" t="b">
        <f>IF(OR(INDEX(OHZ_HAZ_DGCLASSIFI,187,1)="IMDG",),AND(INDEX(OHZ_HAZ_IMOHAZARDC,187,1)&lt;&gt;"",INDEX(OHZ_HAZ_UNNUMBER,187,1)&lt;&gt;""),TRUE)</f>
        <v>1</v>
      </c>
      <c r="K1444" t="str">
        <f t="shared" si="45"/>
        <v>Row 187 - If ‘DG classification’ is ‘IMDG’ the ‘IMO Hazard Class’ and ‘UN Number’ is mandatory</v>
      </c>
    </row>
    <row r="1445" spans="7:11" x14ac:dyDescent="0.25">
      <c r="G1445" t="b">
        <f>IF(OR(INDEX(IHZ_HAZ_DGCLASSIFI,188,1)="IMDG",),AND(INDEX(IHZ_HAZ_IMOHAZARDC,188,1)&lt;&gt;"",INDEX(IHZ_HAZ_UNNUMBER,188,1)&lt;&gt;""),TRUE)</f>
        <v>1</v>
      </c>
      <c r="H1445" t="str">
        <f t="shared" si="44"/>
        <v>Row 188 - If ‘DG classification’ is ‘IMDG’ the ‘IMO Hazard Class’ and ‘UN Number’ is mandatory</v>
      </c>
      <c r="J1445" t="b">
        <f>IF(OR(INDEX(OHZ_HAZ_DGCLASSIFI,188,1)="IMDG",),AND(INDEX(OHZ_HAZ_IMOHAZARDC,188,1)&lt;&gt;"",INDEX(OHZ_HAZ_UNNUMBER,188,1)&lt;&gt;""),TRUE)</f>
        <v>1</v>
      </c>
      <c r="K1445" t="str">
        <f t="shared" si="45"/>
        <v>Row 188 - If ‘DG classification’ is ‘IMDG’ the ‘IMO Hazard Class’ and ‘UN Number’ is mandatory</v>
      </c>
    </row>
    <row r="1446" spans="7:11" x14ac:dyDescent="0.25">
      <c r="G1446" t="b">
        <f>IF(OR(INDEX(IHZ_HAZ_DGCLASSIFI,189,1)="IMDG",),AND(INDEX(IHZ_HAZ_IMOHAZARDC,189,1)&lt;&gt;"",INDEX(IHZ_HAZ_UNNUMBER,189,1)&lt;&gt;""),TRUE)</f>
        <v>1</v>
      </c>
      <c r="H1446" t="str">
        <f t="shared" si="44"/>
        <v>Row 189 - If ‘DG classification’ is ‘IMDG’ the ‘IMO Hazard Class’ and ‘UN Number’ is mandatory</v>
      </c>
      <c r="J1446" t="b">
        <f>IF(OR(INDEX(OHZ_HAZ_DGCLASSIFI,189,1)="IMDG",),AND(INDEX(OHZ_HAZ_IMOHAZARDC,189,1)&lt;&gt;"",INDEX(OHZ_HAZ_UNNUMBER,189,1)&lt;&gt;""),TRUE)</f>
        <v>1</v>
      </c>
      <c r="K1446" t="str">
        <f t="shared" si="45"/>
        <v>Row 189 - If ‘DG classification’ is ‘IMDG’ the ‘IMO Hazard Class’ and ‘UN Number’ is mandatory</v>
      </c>
    </row>
    <row r="1447" spans="7:11" x14ac:dyDescent="0.25">
      <c r="G1447" t="b">
        <f>IF(OR(INDEX(IHZ_HAZ_DGCLASSIFI,190,1)="IMDG",),AND(INDEX(IHZ_HAZ_IMOHAZARDC,190,1)&lt;&gt;"",INDEX(IHZ_HAZ_UNNUMBER,190,1)&lt;&gt;""),TRUE)</f>
        <v>1</v>
      </c>
      <c r="H1447" t="str">
        <f t="shared" si="44"/>
        <v>Row 190 - If ‘DG classification’ is ‘IMDG’ the ‘IMO Hazard Class’ and ‘UN Number’ is mandatory</v>
      </c>
      <c r="J1447" t="b">
        <f>IF(OR(INDEX(OHZ_HAZ_DGCLASSIFI,190,1)="IMDG",),AND(INDEX(OHZ_HAZ_IMOHAZARDC,190,1)&lt;&gt;"",INDEX(OHZ_HAZ_UNNUMBER,190,1)&lt;&gt;""),TRUE)</f>
        <v>1</v>
      </c>
      <c r="K1447" t="str">
        <f t="shared" si="45"/>
        <v>Row 190 - If ‘DG classification’ is ‘IMDG’ the ‘IMO Hazard Class’ and ‘UN Number’ is mandatory</v>
      </c>
    </row>
    <row r="1448" spans="7:11" x14ac:dyDescent="0.25">
      <c r="G1448" t="b">
        <f>IF(OR(INDEX(IHZ_HAZ_DGCLASSIFI,191,1)="IMDG",),AND(INDEX(IHZ_HAZ_IMOHAZARDC,191,1)&lt;&gt;"",INDEX(IHZ_HAZ_UNNUMBER,191,1)&lt;&gt;""),TRUE)</f>
        <v>1</v>
      </c>
      <c r="H1448" t="str">
        <f t="shared" si="44"/>
        <v>Row 191 - If ‘DG classification’ is ‘IMDG’ the ‘IMO Hazard Class’ and ‘UN Number’ is mandatory</v>
      </c>
      <c r="J1448" t="b">
        <f>IF(OR(INDEX(OHZ_HAZ_DGCLASSIFI,191,1)="IMDG",),AND(INDEX(OHZ_HAZ_IMOHAZARDC,191,1)&lt;&gt;"",INDEX(OHZ_HAZ_UNNUMBER,191,1)&lt;&gt;""),TRUE)</f>
        <v>1</v>
      </c>
      <c r="K1448" t="str">
        <f t="shared" si="45"/>
        <v>Row 191 - If ‘DG classification’ is ‘IMDG’ the ‘IMO Hazard Class’ and ‘UN Number’ is mandatory</v>
      </c>
    </row>
    <row r="1449" spans="7:11" x14ac:dyDescent="0.25">
      <c r="G1449" t="b">
        <f>IF(OR(INDEX(IHZ_HAZ_DGCLASSIFI,192,1)="IMDG",),AND(INDEX(IHZ_HAZ_IMOHAZARDC,192,1)&lt;&gt;"",INDEX(IHZ_HAZ_UNNUMBER,192,1)&lt;&gt;""),TRUE)</f>
        <v>1</v>
      </c>
      <c r="H1449" t="str">
        <f t="shared" si="44"/>
        <v>Row 192 - If ‘DG classification’ is ‘IMDG’ the ‘IMO Hazard Class’ and ‘UN Number’ is mandatory</v>
      </c>
      <c r="J1449" t="b">
        <f>IF(OR(INDEX(OHZ_HAZ_DGCLASSIFI,192,1)="IMDG",),AND(INDEX(OHZ_HAZ_IMOHAZARDC,192,1)&lt;&gt;"",INDEX(OHZ_HAZ_UNNUMBER,192,1)&lt;&gt;""),TRUE)</f>
        <v>1</v>
      </c>
      <c r="K1449" t="str">
        <f t="shared" si="45"/>
        <v>Row 192 - If ‘DG classification’ is ‘IMDG’ the ‘IMO Hazard Class’ and ‘UN Number’ is mandatory</v>
      </c>
    </row>
    <row r="1450" spans="7:11" x14ac:dyDescent="0.25">
      <c r="G1450" t="b">
        <f>IF(OR(INDEX(IHZ_HAZ_DGCLASSIFI,193,1)="IMDG",),AND(INDEX(IHZ_HAZ_IMOHAZARDC,193,1)&lt;&gt;"",INDEX(IHZ_HAZ_UNNUMBER,193,1)&lt;&gt;""),TRUE)</f>
        <v>1</v>
      </c>
      <c r="H1450" t="str">
        <f t="shared" si="44"/>
        <v>Row 193 - If ‘DG classification’ is ‘IMDG’ the ‘IMO Hazard Class’ and ‘UN Number’ is mandatory</v>
      </c>
      <c r="J1450" t="b">
        <f>IF(OR(INDEX(OHZ_HAZ_DGCLASSIFI,193,1)="IMDG",),AND(INDEX(OHZ_HAZ_IMOHAZARDC,193,1)&lt;&gt;"",INDEX(OHZ_HAZ_UNNUMBER,193,1)&lt;&gt;""),TRUE)</f>
        <v>1</v>
      </c>
      <c r="K1450" t="str">
        <f t="shared" si="45"/>
        <v>Row 193 - If ‘DG classification’ is ‘IMDG’ the ‘IMO Hazard Class’ and ‘UN Number’ is mandatory</v>
      </c>
    </row>
    <row r="1451" spans="7:11" x14ac:dyDescent="0.25">
      <c r="G1451" t="b">
        <f>IF(OR(INDEX(IHZ_HAZ_DGCLASSIFI,194,1)="IMDG",),AND(INDEX(IHZ_HAZ_IMOHAZARDC,194,1)&lt;&gt;"",INDEX(IHZ_HAZ_UNNUMBER,194,1)&lt;&gt;""),TRUE)</f>
        <v>1</v>
      </c>
      <c r="H1451" t="str">
        <f t="shared" ref="H1451:H1507" si="46">T194&amp;$V$6</f>
        <v>Row 194 - If ‘DG classification’ is ‘IMDG’ the ‘IMO Hazard Class’ and ‘UN Number’ is mandatory</v>
      </c>
      <c r="J1451" t="b">
        <f>IF(OR(INDEX(OHZ_HAZ_DGCLASSIFI,194,1)="IMDG",),AND(INDEX(OHZ_HAZ_IMOHAZARDC,194,1)&lt;&gt;"",INDEX(OHZ_HAZ_UNNUMBER,194,1)&lt;&gt;""),TRUE)</f>
        <v>1</v>
      </c>
      <c r="K1451" t="str">
        <f t="shared" ref="K1451:K1507" si="47">T194&amp;$V$6</f>
        <v>Row 194 - If ‘DG classification’ is ‘IMDG’ the ‘IMO Hazard Class’ and ‘UN Number’ is mandatory</v>
      </c>
    </row>
    <row r="1452" spans="7:11" x14ac:dyDescent="0.25">
      <c r="G1452" t="b">
        <f>IF(OR(INDEX(IHZ_HAZ_DGCLASSIFI,195,1)="IMDG",),AND(INDEX(IHZ_HAZ_IMOHAZARDC,195,1)&lt;&gt;"",INDEX(IHZ_HAZ_UNNUMBER,195,1)&lt;&gt;""),TRUE)</f>
        <v>1</v>
      </c>
      <c r="H1452" t="str">
        <f t="shared" si="46"/>
        <v>Row 195 - If ‘DG classification’ is ‘IMDG’ the ‘IMO Hazard Class’ and ‘UN Number’ is mandatory</v>
      </c>
      <c r="J1452" t="b">
        <f>IF(OR(INDEX(OHZ_HAZ_DGCLASSIFI,195,1)="IMDG",),AND(INDEX(OHZ_HAZ_IMOHAZARDC,195,1)&lt;&gt;"",INDEX(OHZ_HAZ_UNNUMBER,195,1)&lt;&gt;""),TRUE)</f>
        <v>1</v>
      </c>
      <c r="K1452" t="str">
        <f t="shared" si="47"/>
        <v>Row 195 - If ‘DG classification’ is ‘IMDG’ the ‘IMO Hazard Class’ and ‘UN Number’ is mandatory</v>
      </c>
    </row>
    <row r="1453" spans="7:11" x14ac:dyDescent="0.25">
      <c r="G1453" t="b">
        <f>IF(OR(INDEX(IHZ_HAZ_DGCLASSIFI,196,1)="IMDG",),AND(INDEX(IHZ_HAZ_IMOHAZARDC,196,1)&lt;&gt;"",INDEX(IHZ_HAZ_UNNUMBER,196,1)&lt;&gt;""),TRUE)</f>
        <v>1</v>
      </c>
      <c r="H1453" t="str">
        <f t="shared" si="46"/>
        <v>Row 196 - If ‘DG classification’ is ‘IMDG’ the ‘IMO Hazard Class’ and ‘UN Number’ is mandatory</v>
      </c>
      <c r="J1453" t="b">
        <f>IF(OR(INDEX(OHZ_HAZ_DGCLASSIFI,196,1)="IMDG",),AND(INDEX(OHZ_HAZ_IMOHAZARDC,196,1)&lt;&gt;"",INDEX(OHZ_HAZ_UNNUMBER,196,1)&lt;&gt;""),TRUE)</f>
        <v>1</v>
      </c>
      <c r="K1453" t="str">
        <f t="shared" si="47"/>
        <v>Row 196 - If ‘DG classification’ is ‘IMDG’ the ‘IMO Hazard Class’ and ‘UN Number’ is mandatory</v>
      </c>
    </row>
    <row r="1454" spans="7:11" x14ac:dyDescent="0.25">
      <c r="G1454" t="b">
        <f>IF(OR(INDEX(IHZ_HAZ_DGCLASSIFI,197,1)="IMDG",),AND(INDEX(IHZ_HAZ_IMOHAZARDC,197,1)&lt;&gt;"",INDEX(IHZ_HAZ_UNNUMBER,197,1)&lt;&gt;""),TRUE)</f>
        <v>1</v>
      </c>
      <c r="H1454" t="str">
        <f t="shared" si="46"/>
        <v>Row 197 - If ‘DG classification’ is ‘IMDG’ the ‘IMO Hazard Class’ and ‘UN Number’ is mandatory</v>
      </c>
      <c r="J1454" t="b">
        <f>IF(OR(INDEX(OHZ_HAZ_DGCLASSIFI,197,1)="IMDG",),AND(INDEX(OHZ_HAZ_IMOHAZARDC,197,1)&lt;&gt;"",INDEX(OHZ_HAZ_UNNUMBER,197,1)&lt;&gt;""),TRUE)</f>
        <v>1</v>
      </c>
      <c r="K1454" t="str">
        <f t="shared" si="47"/>
        <v>Row 197 - If ‘DG classification’ is ‘IMDG’ the ‘IMO Hazard Class’ and ‘UN Number’ is mandatory</v>
      </c>
    </row>
    <row r="1455" spans="7:11" x14ac:dyDescent="0.25">
      <c r="G1455" t="b">
        <f>IF(OR(INDEX(IHZ_HAZ_DGCLASSIFI,198,1)="IMDG",),AND(INDEX(IHZ_HAZ_IMOHAZARDC,198,1)&lt;&gt;"",INDEX(IHZ_HAZ_UNNUMBER,198,1)&lt;&gt;""),TRUE)</f>
        <v>1</v>
      </c>
      <c r="H1455" t="str">
        <f t="shared" si="46"/>
        <v>Row 198 - If ‘DG classification’ is ‘IMDG’ the ‘IMO Hazard Class’ and ‘UN Number’ is mandatory</v>
      </c>
      <c r="J1455" t="b">
        <f>IF(OR(INDEX(OHZ_HAZ_DGCLASSIFI,198,1)="IMDG",),AND(INDEX(OHZ_HAZ_IMOHAZARDC,198,1)&lt;&gt;"",INDEX(OHZ_HAZ_UNNUMBER,198,1)&lt;&gt;""),TRUE)</f>
        <v>1</v>
      </c>
      <c r="K1455" t="str">
        <f t="shared" si="47"/>
        <v>Row 198 - If ‘DG classification’ is ‘IMDG’ the ‘IMO Hazard Class’ and ‘UN Number’ is mandatory</v>
      </c>
    </row>
    <row r="1456" spans="7:11" x14ac:dyDescent="0.25">
      <c r="G1456" t="b">
        <f>IF(OR(INDEX(IHZ_HAZ_DGCLASSIFI,199,1)="IMDG",),AND(INDEX(IHZ_HAZ_IMOHAZARDC,199,1)&lt;&gt;"",INDEX(IHZ_HAZ_UNNUMBER,199,1)&lt;&gt;""),TRUE)</f>
        <v>1</v>
      </c>
      <c r="H1456" t="str">
        <f t="shared" si="46"/>
        <v>Row 199 - If ‘DG classification’ is ‘IMDG’ the ‘IMO Hazard Class’ and ‘UN Number’ is mandatory</v>
      </c>
      <c r="J1456" t="b">
        <f>IF(OR(INDEX(OHZ_HAZ_DGCLASSIFI,199,1)="IMDG",),AND(INDEX(OHZ_HAZ_IMOHAZARDC,199,1)&lt;&gt;"",INDEX(OHZ_HAZ_UNNUMBER,199,1)&lt;&gt;""),TRUE)</f>
        <v>1</v>
      </c>
      <c r="K1456" t="str">
        <f t="shared" si="47"/>
        <v>Row 199 - If ‘DG classification’ is ‘IMDG’ the ‘IMO Hazard Class’ and ‘UN Number’ is mandatory</v>
      </c>
    </row>
    <row r="1457" spans="7:11" x14ac:dyDescent="0.25">
      <c r="G1457" t="b">
        <f>IF(OR(INDEX(IHZ_HAZ_DGCLASSIFI,200,1)="IMDG",),AND(INDEX(IHZ_HAZ_IMOHAZARDC,200,1)&lt;&gt;"",INDEX(IHZ_HAZ_UNNUMBER,200,1)&lt;&gt;""),TRUE)</f>
        <v>1</v>
      </c>
      <c r="H1457" t="str">
        <f t="shared" si="46"/>
        <v>Row 200 - If ‘DG classification’ is ‘IMDG’ the ‘IMO Hazard Class’ and ‘UN Number’ is mandatory</v>
      </c>
      <c r="J1457" t="b">
        <f>IF(OR(INDEX(OHZ_HAZ_DGCLASSIFI,200,1)="IMDG",),AND(INDEX(OHZ_HAZ_IMOHAZARDC,200,1)&lt;&gt;"",INDEX(OHZ_HAZ_UNNUMBER,200,1)&lt;&gt;""),TRUE)</f>
        <v>1</v>
      </c>
      <c r="K1457" t="str">
        <f t="shared" si="47"/>
        <v>Row 200 - If ‘DG classification’ is ‘IMDG’ the ‘IMO Hazard Class’ and ‘UN Number’ is mandatory</v>
      </c>
    </row>
    <row r="1458" spans="7:11" x14ac:dyDescent="0.25">
      <c r="G1458" t="b">
        <f>IF(OR(INDEX(IHZ_HAZ_DGCLASSIFI,201,1)="IMDG",),AND(INDEX(IHZ_HAZ_IMOHAZARDC,201,1)&lt;&gt;"",INDEX(IHZ_HAZ_UNNUMBER,201,1)&lt;&gt;""),TRUE)</f>
        <v>1</v>
      </c>
      <c r="H1458" t="str">
        <f t="shared" si="46"/>
        <v>Row 201 - If ‘DG classification’ is ‘IMDG’ the ‘IMO Hazard Class’ and ‘UN Number’ is mandatory</v>
      </c>
      <c r="J1458" t="b">
        <f>IF(OR(INDEX(OHZ_HAZ_DGCLASSIFI,201,1)="IMDG",),AND(INDEX(OHZ_HAZ_IMOHAZARDC,201,1)&lt;&gt;"",INDEX(OHZ_HAZ_UNNUMBER,201,1)&lt;&gt;""),TRUE)</f>
        <v>1</v>
      </c>
      <c r="K1458" t="str">
        <f t="shared" si="47"/>
        <v>Row 201 - If ‘DG classification’ is ‘IMDG’ the ‘IMO Hazard Class’ and ‘UN Number’ is mandatory</v>
      </c>
    </row>
    <row r="1459" spans="7:11" x14ac:dyDescent="0.25">
      <c r="G1459" t="b">
        <f>IF(OR(INDEX(IHZ_HAZ_DGCLASSIFI,202,1)="IMDG",),AND(INDEX(IHZ_HAZ_IMOHAZARDC,202,1)&lt;&gt;"",INDEX(IHZ_HAZ_UNNUMBER,202,1)&lt;&gt;""),TRUE)</f>
        <v>1</v>
      </c>
      <c r="H1459" t="str">
        <f t="shared" si="46"/>
        <v>Row 202 - If ‘DG classification’ is ‘IMDG’ the ‘IMO Hazard Class’ and ‘UN Number’ is mandatory</v>
      </c>
      <c r="J1459" t="b">
        <f>IF(OR(INDEX(OHZ_HAZ_DGCLASSIFI,202,1)="IMDG",),AND(INDEX(OHZ_HAZ_IMOHAZARDC,202,1)&lt;&gt;"",INDEX(OHZ_HAZ_UNNUMBER,202,1)&lt;&gt;""),TRUE)</f>
        <v>1</v>
      </c>
      <c r="K1459" t="str">
        <f t="shared" si="47"/>
        <v>Row 202 - If ‘DG classification’ is ‘IMDG’ the ‘IMO Hazard Class’ and ‘UN Number’ is mandatory</v>
      </c>
    </row>
    <row r="1460" spans="7:11" x14ac:dyDescent="0.25">
      <c r="G1460" t="b">
        <f>IF(OR(INDEX(IHZ_HAZ_DGCLASSIFI,203,1)="IMDG",),AND(INDEX(IHZ_HAZ_IMOHAZARDC,203,1)&lt;&gt;"",INDEX(IHZ_HAZ_UNNUMBER,203,1)&lt;&gt;""),TRUE)</f>
        <v>1</v>
      </c>
      <c r="H1460" t="str">
        <f t="shared" si="46"/>
        <v>Row 203 - If ‘DG classification’ is ‘IMDG’ the ‘IMO Hazard Class’ and ‘UN Number’ is mandatory</v>
      </c>
      <c r="J1460" t="b">
        <f>IF(OR(INDEX(OHZ_HAZ_DGCLASSIFI,203,1)="IMDG",),AND(INDEX(OHZ_HAZ_IMOHAZARDC,203,1)&lt;&gt;"",INDEX(OHZ_HAZ_UNNUMBER,203,1)&lt;&gt;""),TRUE)</f>
        <v>1</v>
      </c>
      <c r="K1460" t="str">
        <f t="shared" si="47"/>
        <v>Row 203 - If ‘DG classification’ is ‘IMDG’ the ‘IMO Hazard Class’ and ‘UN Number’ is mandatory</v>
      </c>
    </row>
    <row r="1461" spans="7:11" x14ac:dyDescent="0.25">
      <c r="G1461" t="b">
        <f>IF(OR(INDEX(IHZ_HAZ_DGCLASSIFI,204,1)="IMDG",),AND(INDEX(IHZ_HAZ_IMOHAZARDC,204,1)&lt;&gt;"",INDEX(IHZ_HAZ_UNNUMBER,204,1)&lt;&gt;""),TRUE)</f>
        <v>1</v>
      </c>
      <c r="H1461" t="str">
        <f t="shared" si="46"/>
        <v>Row 204 - If ‘DG classification’ is ‘IMDG’ the ‘IMO Hazard Class’ and ‘UN Number’ is mandatory</v>
      </c>
      <c r="J1461" t="b">
        <f>IF(OR(INDEX(OHZ_HAZ_DGCLASSIFI,204,1)="IMDG",),AND(INDEX(OHZ_HAZ_IMOHAZARDC,204,1)&lt;&gt;"",INDEX(OHZ_HAZ_UNNUMBER,204,1)&lt;&gt;""),TRUE)</f>
        <v>1</v>
      </c>
      <c r="K1461" t="str">
        <f t="shared" si="47"/>
        <v>Row 204 - If ‘DG classification’ is ‘IMDG’ the ‘IMO Hazard Class’ and ‘UN Number’ is mandatory</v>
      </c>
    </row>
    <row r="1462" spans="7:11" x14ac:dyDescent="0.25">
      <c r="G1462" t="b">
        <f>IF(OR(INDEX(IHZ_HAZ_DGCLASSIFI,205,1)="IMDG",),AND(INDEX(IHZ_HAZ_IMOHAZARDC,205,1)&lt;&gt;"",INDEX(IHZ_HAZ_UNNUMBER,205,1)&lt;&gt;""),TRUE)</f>
        <v>1</v>
      </c>
      <c r="H1462" t="str">
        <f t="shared" si="46"/>
        <v>Row 205 - If ‘DG classification’ is ‘IMDG’ the ‘IMO Hazard Class’ and ‘UN Number’ is mandatory</v>
      </c>
      <c r="J1462" t="b">
        <f>IF(OR(INDEX(OHZ_HAZ_DGCLASSIFI,205,1)="IMDG",),AND(INDEX(OHZ_HAZ_IMOHAZARDC,205,1)&lt;&gt;"",INDEX(OHZ_HAZ_UNNUMBER,205,1)&lt;&gt;""),TRUE)</f>
        <v>1</v>
      </c>
      <c r="K1462" t="str">
        <f t="shared" si="47"/>
        <v>Row 205 - If ‘DG classification’ is ‘IMDG’ the ‘IMO Hazard Class’ and ‘UN Number’ is mandatory</v>
      </c>
    </row>
    <row r="1463" spans="7:11" x14ac:dyDescent="0.25">
      <c r="G1463" t="b">
        <f>IF(OR(INDEX(IHZ_HAZ_DGCLASSIFI,206,1)="IMDG",),AND(INDEX(IHZ_HAZ_IMOHAZARDC,206,1)&lt;&gt;"",INDEX(IHZ_HAZ_UNNUMBER,206,1)&lt;&gt;""),TRUE)</f>
        <v>1</v>
      </c>
      <c r="H1463" t="str">
        <f t="shared" si="46"/>
        <v>Row 206 - If ‘DG classification’ is ‘IMDG’ the ‘IMO Hazard Class’ and ‘UN Number’ is mandatory</v>
      </c>
      <c r="J1463" t="b">
        <f>IF(OR(INDEX(OHZ_HAZ_DGCLASSIFI,206,1)="IMDG",),AND(INDEX(OHZ_HAZ_IMOHAZARDC,206,1)&lt;&gt;"",INDEX(OHZ_HAZ_UNNUMBER,206,1)&lt;&gt;""),TRUE)</f>
        <v>1</v>
      </c>
      <c r="K1463" t="str">
        <f t="shared" si="47"/>
        <v>Row 206 - If ‘DG classification’ is ‘IMDG’ the ‘IMO Hazard Class’ and ‘UN Number’ is mandatory</v>
      </c>
    </row>
    <row r="1464" spans="7:11" x14ac:dyDescent="0.25">
      <c r="G1464" t="b">
        <f>IF(OR(INDEX(IHZ_HAZ_DGCLASSIFI,207,1)="IMDG",),AND(INDEX(IHZ_HAZ_IMOHAZARDC,207,1)&lt;&gt;"",INDEX(IHZ_HAZ_UNNUMBER,207,1)&lt;&gt;""),TRUE)</f>
        <v>1</v>
      </c>
      <c r="H1464" t="str">
        <f t="shared" si="46"/>
        <v>Row 207 - If ‘DG classification’ is ‘IMDG’ the ‘IMO Hazard Class’ and ‘UN Number’ is mandatory</v>
      </c>
      <c r="J1464" t="b">
        <f>IF(OR(INDEX(OHZ_HAZ_DGCLASSIFI,207,1)="IMDG",),AND(INDEX(OHZ_HAZ_IMOHAZARDC,207,1)&lt;&gt;"",INDEX(OHZ_HAZ_UNNUMBER,207,1)&lt;&gt;""),TRUE)</f>
        <v>1</v>
      </c>
      <c r="K1464" t="str">
        <f t="shared" si="47"/>
        <v>Row 207 - If ‘DG classification’ is ‘IMDG’ the ‘IMO Hazard Class’ and ‘UN Number’ is mandatory</v>
      </c>
    </row>
    <row r="1465" spans="7:11" x14ac:dyDescent="0.25">
      <c r="G1465" t="b">
        <f>IF(OR(INDEX(IHZ_HAZ_DGCLASSIFI,208,1)="IMDG",),AND(INDEX(IHZ_HAZ_IMOHAZARDC,208,1)&lt;&gt;"",INDEX(IHZ_HAZ_UNNUMBER,208,1)&lt;&gt;""),TRUE)</f>
        <v>1</v>
      </c>
      <c r="H1465" t="str">
        <f t="shared" si="46"/>
        <v>Row 208 - If ‘DG classification’ is ‘IMDG’ the ‘IMO Hazard Class’ and ‘UN Number’ is mandatory</v>
      </c>
      <c r="J1465" t="b">
        <f>IF(OR(INDEX(OHZ_HAZ_DGCLASSIFI,208,1)="IMDG",),AND(INDEX(OHZ_HAZ_IMOHAZARDC,208,1)&lt;&gt;"",INDEX(OHZ_HAZ_UNNUMBER,208,1)&lt;&gt;""),TRUE)</f>
        <v>1</v>
      </c>
      <c r="K1465" t="str">
        <f t="shared" si="47"/>
        <v>Row 208 - If ‘DG classification’ is ‘IMDG’ the ‘IMO Hazard Class’ and ‘UN Number’ is mandatory</v>
      </c>
    </row>
    <row r="1466" spans="7:11" x14ac:dyDescent="0.25">
      <c r="G1466" t="b">
        <f>IF(OR(INDEX(IHZ_HAZ_DGCLASSIFI,209,1)="IMDG",),AND(INDEX(IHZ_HAZ_IMOHAZARDC,209,1)&lt;&gt;"",INDEX(IHZ_HAZ_UNNUMBER,209,1)&lt;&gt;""),TRUE)</f>
        <v>1</v>
      </c>
      <c r="H1466" t="str">
        <f t="shared" si="46"/>
        <v>Row 209 - If ‘DG classification’ is ‘IMDG’ the ‘IMO Hazard Class’ and ‘UN Number’ is mandatory</v>
      </c>
      <c r="J1466" t="b">
        <f>IF(OR(INDEX(OHZ_HAZ_DGCLASSIFI,209,1)="IMDG",),AND(INDEX(OHZ_HAZ_IMOHAZARDC,209,1)&lt;&gt;"",INDEX(OHZ_HAZ_UNNUMBER,209,1)&lt;&gt;""),TRUE)</f>
        <v>1</v>
      </c>
      <c r="K1466" t="str">
        <f t="shared" si="47"/>
        <v>Row 209 - If ‘DG classification’ is ‘IMDG’ the ‘IMO Hazard Class’ and ‘UN Number’ is mandatory</v>
      </c>
    </row>
    <row r="1467" spans="7:11" x14ac:dyDescent="0.25">
      <c r="G1467" t="b">
        <f>IF(OR(INDEX(IHZ_HAZ_DGCLASSIFI,210,1)="IMDG",),AND(INDEX(IHZ_HAZ_IMOHAZARDC,210,1)&lt;&gt;"",INDEX(IHZ_HAZ_UNNUMBER,210,1)&lt;&gt;""),TRUE)</f>
        <v>1</v>
      </c>
      <c r="H1467" t="str">
        <f t="shared" si="46"/>
        <v>Row 210 - If ‘DG classification’ is ‘IMDG’ the ‘IMO Hazard Class’ and ‘UN Number’ is mandatory</v>
      </c>
      <c r="J1467" t="b">
        <f>IF(OR(INDEX(OHZ_HAZ_DGCLASSIFI,210,1)="IMDG",),AND(INDEX(OHZ_HAZ_IMOHAZARDC,210,1)&lt;&gt;"",INDEX(OHZ_HAZ_UNNUMBER,210,1)&lt;&gt;""),TRUE)</f>
        <v>1</v>
      </c>
      <c r="K1467" t="str">
        <f t="shared" si="47"/>
        <v>Row 210 - If ‘DG classification’ is ‘IMDG’ the ‘IMO Hazard Class’ and ‘UN Number’ is mandatory</v>
      </c>
    </row>
    <row r="1468" spans="7:11" x14ac:dyDescent="0.25">
      <c r="G1468" t="b">
        <f>IF(OR(INDEX(IHZ_HAZ_DGCLASSIFI,211,1)="IMDG",),AND(INDEX(IHZ_HAZ_IMOHAZARDC,211,1)&lt;&gt;"",INDEX(IHZ_HAZ_UNNUMBER,211,1)&lt;&gt;""),TRUE)</f>
        <v>1</v>
      </c>
      <c r="H1468" t="str">
        <f t="shared" si="46"/>
        <v>Row 211 - If ‘DG classification’ is ‘IMDG’ the ‘IMO Hazard Class’ and ‘UN Number’ is mandatory</v>
      </c>
      <c r="J1468" t="b">
        <f>IF(OR(INDEX(OHZ_HAZ_DGCLASSIFI,211,1)="IMDG",),AND(INDEX(OHZ_HAZ_IMOHAZARDC,211,1)&lt;&gt;"",INDEX(OHZ_HAZ_UNNUMBER,211,1)&lt;&gt;""),TRUE)</f>
        <v>1</v>
      </c>
      <c r="K1468" t="str">
        <f t="shared" si="47"/>
        <v>Row 211 - If ‘DG classification’ is ‘IMDG’ the ‘IMO Hazard Class’ and ‘UN Number’ is mandatory</v>
      </c>
    </row>
    <row r="1469" spans="7:11" x14ac:dyDescent="0.25">
      <c r="G1469" t="b">
        <f>IF(OR(INDEX(IHZ_HAZ_DGCLASSIFI,212,1)="IMDG",),AND(INDEX(IHZ_HAZ_IMOHAZARDC,212,1)&lt;&gt;"",INDEX(IHZ_HAZ_UNNUMBER,212,1)&lt;&gt;""),TRUE)</f>
        <v>1</v>
      </c>
      <c r="H1469" t="str">
        <f t="shared" si="46"/>
        <v>Row 212 - If ‘DG classification’ is ‘IMDG’ the ‘IMO Hazard Class’ and ‘UN Number’ is mandatory</v>
      </c>
      <c r="J1469" t="b">
        <f>IF(OR(INDEX(OHZ_HAZ_DGCLASSIFI,212,1)="IMDG",),AND(INDEX(OHZ_HAZ_IMOHAZARDC,212,1)&lt;&gt;"",INDEX(OHZ_HAZ_UNNUMBER,212,1)&lt;&gt;""),TRUE)</f>
        <v>1</v>
      </c>
      <c r="K1469" t="str">
        <f t="shared" si="47"/>
        <v>Row 212 - If ‘DG classification’ is ‘IMDG’ the ‘IMO Hazard Class’ and ‘UN Number’ is mandatory</v>
      </c>
    </row>
    <row r="1470" spans="7:11" x14ac:dyDescent="0.25">
      <c r="G1470" t="b">
        <f>IF(OR(INDEX(IHZ_HAZ_DGCLASSIFI,213,1)="IMDG",),AND(INDEX(IHZ_HAZ_IMOHAZARDC,213,1)&lt;&gt;"",INDEX(IHZ_HAZ_UNNUMBER,213,1)&lt;&gt;""),TRUE)</f>
        <v>1</v>
      </c>
      <c r="H1470" t="str">
        <f t="shared" si="46"/>
        <v>Row 213 - If ‘DG classification’ is ‘IMDG’ the ‘IMO Hazard Class’ and ‘UN Number’ is mandatory</v>
      </c>
      <c r="J1470" t="b">
        <f>IF(OR(INDEX(OHZ_HAZ_DGCLASSIFI,213,1)="IMDG",),AND(INDEX(OHZ_HAZ_IMOHAZARDC,213,1)&lt;&gt;"",INDEX(OHZ_HAZ_UNNUMBER,213,1)&lt;&gt;""),TRUE)</f>
        <v>1</v>
      </c>
      <c r="K1470" t="str">
        <f t="shared" si="47"/>
        <v>Row 213 - If ‘DG classification’ is ‘IMDG’ the ‘IMO Hazard Class’ and ‘UN Number’ is mandatory</v>
      </c>
    </row>
    <row r="1471" spans="7:11" x14ac:dyDescent="0.25">
      <c r="G1471" t="b">
        <f>IF(OR(INDEX(IHZ_HAZ_DGCLASSIFI,214,1)="IMDG",),AND(INDEX(IHZ_HAZ_IMOHAZARDC,214,1)&lt;&gt;"",INDEX(IHZ_HAZ_UNNUMBER,214,1)&lt;&gt;""),TRUE)</f>
        <v>1</v>
      </c>
      <c r="H1471" t="str">
        <f t="shared" si="46"/>
        <v>Row 214 - If ‘DG classification’ is ‘IMDG’ the ‘IMO Hazard Class’ and ‘UN Number’ is mandatory</v>
      </c>
      <c r="J1471" t="b">
        <f>IF(OR(INDEX(OHZ_HAZ_DGCLASSIFI,214,1)="IMDG",),AND(INDEX(OHZ_HAZ_IMOHAZARDC,214,1)&lt;&gt;"",INDEX(OHZ_HAZ_UNNUMBER,214,1)&lt;&gt;""),TRUE)</f>
        <v>1</v>
      </c>
      <c r="K1471" t="str">
        <f t="shared" si="47"/>
        <v>Row 214 - If ‘DG classification’ is ‘IMDG’ the ‘IMO Hazard Class’ and ‘UN Number’ is mandatory</v>
      </c>
    </row>
    <row r="1472" spans="7:11" x14ac:dyDescent="0.25">
      <c r="G1472" t="b">
        <f>IF(OR(INDEX(IHZ_HAZ_DGCLASSIFI,215,1)="IMDG",),AND(INDEX(IHZ_HAZ_IMOHAZARDC,215,1)&lt;&gt;"",INDEX(IHZ_HAZ_UNNUMBER,215,1)&lt;&gt;""),TRUE)</f>
        <v>1</v>
      </c>
      <c r="H1472" t="str">
        <f t="shared" si="46"/>
        <v>Row 215 - If ‘DG classification’ is ‘IMDG’ the ‘IMO Hazard Class’ and ‘UN Number’ is mandatory</v>
      </c>
      <c r="J1472" t="b">
        <f>IF(OR(INDEX(OHZ_HAZ_DGCLASSIFI,215,1)="IMDG",),AND(INDEX(OHZ_HAZ_IMOHAZARDC,215,1)&lt;&gt;"",INDEX(OHZ_HAZ_UNNUMBER,215,1)&lt;&gt;""),TRUE)</f>
        <v>1</v>
      </c>
      <c r="K1472" t="str">
        <f t="shared" si="47"/>
        <v>Row 215 - If ‘DG classification’ is ‘IMDG’ the ‘IMO Hazard Class’ and ‘UN Number’ is mandatory</v>
      </c>
    </row>
    <row r="1473" spans="7:11" x14ac:dyDescent="0.25">
      <c r="G1473" t="b">
        <f>IF(OR(INDEX(IHZ_HAZ_DGCLASSIFI,216,1)="IMDG",),AND(INDEX(IHZ_HAZ_IMOHAZARDC,216,1)&lt;&gt;"",INDEX(IHZ_HAZ_UNNUMBER,216,1)&lt;&gt;""),TRUE)</f>
        <v>1</v>
      </c>
      <c r="H1473" t="str">
        <f t="shared" si="46"/>
        <v>Row 216 - If ‘DG classification’ is ‘IMDG’ the ‘IMO Hazard Class’ and ‘UN Number’ is mandatory</v>
      </c>
      <c r="J1473" t="b">
        <f>IF(OR(INDEX(OHZ_HAZ_DGCLASSIFI,216,1)="IMDG",),AND(INDEX(OHZ_HAZ_IMOHAZARDC,216,1)&lt;&gt;"",INDEX(OHZ_HAZ_UNNUMBER,216,1)&lt;&gt;""),TRUE)</f>
        <v>1</v>
      </c>
      <c r="K1473" t="str">
        <f t="shared" si="47"/>
        <v>Row 216 - If ‘DG classification’ is ‘IMDG’ the ‘IMO Hazard Class’ and ‘UN Number’ is mandatory</v>
      </c>
    </row>
    <row r="1474" spans="7:11" x14ac:dyDescent="0.25">
      <c r="G1474" t="b">
        <f>IF(OR(INDEX(IHZ_HAZ_DGCLASSIFI,217,1)="IMDG",),AND(INDEX(IHZ_HAZ_IMOHAZARDC,217,1)&lt;&gt;"",INDEX(IHZ_HAZ_UNNUMBER,217,1)&lt;&gt;""),TRUE)</f>
        <v>1</v>
      </c>
      <c r="H1474" t="str">
        <f t="shared" si="46"/>
        <v>Row 217 - If ‘DG classification’ is ‘IMDG’ the ‘IMO Hazard Class’ and ‘UN Number’ is mandatory</v>
      </c>
      <c r="J1474" t="b">
        <f>IF(OR(INDEX(OHZ_HAZ_DGCLASSIFI,217,1)="IMDG",),AND(INDEX(OHZ_HAZ_IMOHAZARDC,217,1)&lt;&gt;"",INDEX(OHZ_HAZ_UNNUMBER,217,1)&lt;&gt;""),TRUE)</f>
        <v>1</v>
      </c>
      <c r="K1474" t="str">
        <f t="shared" si="47"/>
        <v>Row 217 - If ‘DG classification’ is ‘IMDG’ the ‘IMO Hazard Class’ and ‘UN Number’ is mandatory</v>
      </c>
    </row>
    <row r="1475" spans="7:11" x14ac:dyDescent="0.25">
      <c r="G1475" t="b">
        <f>IF(OR(INDEX(IHZ_HAZ_DGCLASSIFI,218,1)="IMDG",),AND(INDEX(IHZ_HAZ_IMOHAZARDC,218,1)&lt;&gt;"",INDEX(IHZ_HAZ_UNNUMBER,218,1)&lt;&gt;""),TRUE)</f>
        <v>1</v>
      </c>
      <c r="H1475" t="str">
        <f t="shared" si="46"/>
        <v>Row 218 - If ‘DG classification’ is ‘IMDG’ the ‘IMO Hazard Class’ and ‘UN Number’ is mandatory</v>
      </c>
      <c r="J1475" t="b">
        <f>IF(OR(INDEX(OHZ_HAZ_DGCLASSIFI,218,1)="IMDG",),AND(INDEX(OHZ_HAZ_IMOHAZARDC,218,1)&lt;&gt;"",INDEX(OHZ_HAZ_UNNUMBER,218,1)&lt;&gt;""),TRUE)</f>
        <v>1</v>
      </c>
      <c r="K1475" t="str">
        <f t="shared" si="47"/>
        <v>Row 218 - If ‘DG classification’ is ‘IMDG’ the ‘IMO Hazard Class’ and ‘UN Number’ is mandatory</v>
      </c>
    </row>
    <row r="1476" spans="7:11" x14ac:dyDescent="0.25">
      <c r="G1476" t="b">
        <f>IF(OR(INDEX(IHZ_HAZ_DGCLASSIFI,219,1)="IMDG",),AND(INDEX(IHZ_HAZ_IMOHAZARDC,219,1)&lt;&gt;"",INDEX(IHZ_HAZ_UNNUMBER,219,1)&lt;&gt;""),TRUE)</f>
        <v>1</v>
      </c>
      <c r="H1476" t="str">
        <f t="shared" si="46"/>
        <v>Row 219 - If ‘DG classification’ is ‘IMDG’ the ‘IMO Hazard Class’ and ‘UN Number’ is mandatory</v>
      </c>
      <c r="J1476" t="b">
        <f>IF(OR(INDEX(OHZ_HAZ_DGCLASSIFI,219,1)="IMDG",),AND(INDEX(OHZ_HAZ_IMOHAZARDC,219,1)&lt;&gt;"",INDEX(OHZ_HAZ_UNNUMBER,219,1)&lt;&gt;""),TRUE)</f>
        <v>1</v>
      </c>
      <c r="K1476" t="str">
        <f t="shared" si="47"/>
        <v>Row 219 - If ‘DG classification’ is ‘IMDG’ the ‘IMO Hazard Class’ and ‘UN Number’ is mandatory</v>
      </c>
    </row>
    <row r="1477" spans="7:11" x14ac:dyDescent="0.25">
      <c r="G1477" t="b">
        <f>IF(OR(INDEX(IHZ_HAZ_DGCLASSIFI,220,1)="IMDG",),AND(INDEX(IHZ_HAZ_IMOHAZARDC,220,1)&lt;&gt;"",INDEX(IHZ_HAZ_UNNUMBER,220,1)&lt;&gt;""),TRUE)</f>
        <v>1</v>
      </c>
      <c r="H1477" t="str">
        <f t="shared" si="46"/>
        <v>Row 220 - If ‘DG classification’ is ‘IMDG’ the ‘IMO Hazard Class’ and ‘UN Number’ is mandatory</v>
      </c>
      <c r="J1477" t="b">
        <f>IF(OR(INDEX(OHZ_HAZ_DGCLASSIFI,220,1)="IMDG",),AND(INDEX(OHZ_HAZ_IMOHAZARDC,220,1)&lt;&gt;"",INDEX(OHZ_HAZ_UNNUMBER,220,1)&lt;&gt;""),TRUE)</f>
        <v>1</v>
      </c>
      <c r="K1477" t="str">
        <f t="shared" si="47"/>
        <v>Row 220 - If ‘DG classification’ is ‘IMDG’ the ‘IMO Hazard Class’ and ‘UN Number’ is mandatory</v>
      </c>
    </row>
    <row r="1478" spans="7:11" x14ac:dyDescent="0.25">
      <c r="G1478" t="b">
        <f>IF(OR(INDEX(IHZ_HAZ_DGCLASSIFI,221,1)="IMDG",),AND(INDEX(IHZ_HAZ_IMOHAZARDC,221,1)&lt;&gt;"",INDEX(IHZ_HAZ_UNNUMBER,221,1)&lt;&gt;""),TRUE)</f>
        <v>1</v>
      </c>
      <c r="H1478" t="str">
        <f t="shared" si="46"/>
        <v>Row 221 - If ‘DG classification’ is ‘IMDG’ the ‘IMO Hazard Class’ and ‘UN Number’ is mandatory</v>
      </c>
      <c r="J1478" t="b">
        <f>IF(OR(INDEX(OHZ_HAZ_DGCLASSIFI,221,1)="IMDG",),AND(INDEX(OHZ_HAZ_IMOHAZARDC,221,1)&lt;&gt;"",INDEX(OHZ_HAZ_UNNUMBER,221,1)&lt;&gt;""),TRUE)</f>
        <v>1</v>
      </c>
      <c r="K1478" t="str">
        <f t="shared" si="47"/>
        <v>Row 221 - If ‘DG classification’ is ‘IMDG’ the ‘IMO Hazard Class’ and ‘UN Number’ is mandatory</v>
      </c>
    </row>
    <row r="1479" spans="7:11" x14ac:dyDescent="0.25">
      <c r="G1479" t="b">
        <f>IF(OR(INDEX(IHZ_HAZ_DGCLASSIFI,222,1)="IMDG",),AND(INDEX(IHZ_HAZ_IMOHAZARDC,222,1)&lt;&gt;"",INDEX(IHZ_HAZ_UNNUMBER,222,1)&lt;&gt;""),TRUE)</f>
        <v>1</v>
      </c>
      <c r="H1479" t="str">
        <f t="shared" si="46"/>
        <v>Row 222 - If ‘DG classification’ is ‘IMDG’ the ‘IMO Hazard Class’ and ‘UN Number’ is mandatory</v>
      </c>
      <c r="J1479" t="b">
        <f>IF(OR(INDEX(OHZ_HAZ_DGCLASSIFI,222,1)="IMDG",),AND(INDEX(OHZ_HAZ_IMOHAZARDC,222,1)&lt;&gt;"",INDEX(OHZ_HAZ_UNNUMBER,222,1)&lt;&gt;""),TRUE)</f>
        <v>1</v>
      </c>
      <c r="K1479" t="str">
        <f t="shared" si="47"/>
        <v>Row 222 - If ‘DG classification’ is ‘IMDG’ the ‘IMO Hazard Class’ and ‘UN Number’ is mandatory</v>
      </c>
    </row>
    <row r="1480" spans="7:11" x14ac:dyDescent="0.25">
      <c r="G1480" t="b">
        <f>IF(OR(INDEX(IHZ_HAZ_DGCLASSIFI,223,1)="IMDG",),AND(INDEX(IHZ_HAZ_IMOHAZARDC,223,1)&lt;&gt;"",INDEX(IHZ_HAZ_UNNUMBER,223,1)&lt;&gt;""),TRUE)</f>
        <v>1</v>
      </c>
      <c r="H1480" t="str">
        <f t="shared" si="46"/>
        <v>Row 223 - If ‘DG classification’ is ‘IMDG’ the ‘IMO Hazard Class’ and ‘UN Number’ is mandatory</v>
      </c>
      <c r="J1480" t="b">
        <f>IF(OR(INDEX(OHZ_HAZ_DGCLASSIFI,223,1)="IMDG",),AND(INDEX(OHZ_HAZ_IMOHAZARDC,223,1)&lt;&gt;"",INDEX(OHZ_HAZ_UNNUMBER,223,1)&lt;&gt;""),TRUE)</f>
        <v>1</v>
      </c>
      <c r="K1480" t="str">
        <f t="shared" si="47"/>
        <v>Row 223 - If ‘DG classification’ is ‘IMDG’ the ‘IMO Hazard Class’ and ‘UN Number’ is mandatory</v>
      </c>
    </row>
    <row r="1481" spans="7:11" x14ac:dyDescent="0.25">
      <c r="G1481" t="b">
        <f>IF(OR(INDEX(IHZ_HAZ_DGCLASSIFI,224,1)="IMDG",),AND(INDEX(IHZ_HAZ_IMOHAZARDC,224,1)&lt;&gt;"",INDEX(IHZ_HAZ_UNNUMBER,224,1)&lt;&gt;""),TRUE)</f>
        <v>1</v>
      </c>
      <c r="H1481" t="str">
        <f t="shared" si="46"/>
        <v>Row 224 - If ‘DG classification’ is ‘IMDG’ the ‘IMO Hazard Class’ and ‘UN Number’ is mandatory</v>
      </c>
      <c r="J1481" t="b">
        <f>IF(OR(INDEX(OHZ_HAZ_DGCLASSIFI,224,1)="IMDG",),AND(INDEX(OHZ_HAZ_IMOHAZARDC,224,1)&lt;&gt;"",INDEX(OHZ_HAZ_UNNUMBER,224,1)&lt;&gt;""),TRUE)</f>
        <v>1</v>
      </c>
      <c r="K1481" t="str">
        <f t="shared" si="47"/>
        <v>Row 224 - If ‘DG classification’ is ‘IMDG’ the ‘IMO Hazard Class’ and ‘UN Number’ is mandatory</v>
      </c>
    </row>
    <row r="1482" spans="7:11" x14ac:dyDescent="0.25">
      <c r="G1482" t="b">
        <f>IF(OR(INDEX(IHZ_HAZ_DGCLASSIFI,225,1)="IMDG",),AND(INDEX(IHZ_HAZ_IMOHAZARDC,225,1)&lt;&gt;"",INDEX(IHZ_HAZ_UNNUMBER,225,1)&lt;&gt;""),TRUE)</f>
        <v>1</v>
      </c>
      <c r="H1482" t="str">
        <f t="shared" si="46"/>
        <v>Row 225 - If ‘DG classification’ is ‘IMDG’ the ‘IMO Hazard Class’ and ‘UN Number’ is mandatory</v>
      </c>
      <c r="J1482" t="b">
        <f>IF(OR(INDEX(OHZ_HAZ_DGCLASSIFI,225,1)="IMDG",),AND(INDEX(OHZ_HAZ_IMOHAZARDC,225,1)&lt;&gt;"",INDEX(OHZ_HAZ_UNNUMBER,225,1)&lt;&gt;""),TRUE)</f>
        <v>1</v>
      </c>
      <c r="K1482" t="str">
        <f t="shared" si="47"/>
        <v>Row 225 - If ‘DG classification’ is ‘IMDG’ the ‘IMO Hazard Class’ and ‘UN Number’ is mandatory</v>
      </c>
    </row>
    <row r="1483" spans="7:11" x14ac:dyDescent="0.25">
      <c r="G1483" t="b">
        <f>IF(OR(INDEX(IHZ_HAZ_DGCLASSIFI,226,1)="IMDG",),AND(INDEX(IHZ_HAZ_IMOHAZARDC,226,1)&lt;&gt;"",INDEX(IHZ_HAZ_UNNUMBER,226,1)&lt;&gt;""),TRUE)</f>
        <v>1</v>
      </c>
      <c r="H1483" t="str">
        <f t="shared" si="46"/>
        <v>Row 226 - If ‘DG classification’ is ‘IMDG’ the ‘IMO Hazard Class’ and ‘UN Number’ is mandatory</v>
      </c>
      <c r="J1483" t="b">
        <f>IF(OR(INDEX(OHZ_HAZ_DGCLASSIFI,226,1)="IMDG",),AND(INDEX(OHZ_HAZ_IMOHAZARDC,226,1)&lt;&gt;"",INDEX(OHZ_HAZ_UNNUMBER,226,1)&lt;&gt;""),TRUE)</f>
        <v>1</v>
      </c>
      <c r="K1483" t="str">
        <f t="shared" si="47"/>
        <v>Row 226 - If ‘DG classification’ is ‘IMDG’ the ‘IMO Hazard Class’ and ‘UN Number’ is mandatory</v>
      </c>
    </row>
    <row r="1484" spans="7:11" x14ac:dyDescent="0.25">
      <c r="G1484" t="b">
        <f>IF(OR(INDEX(IHZ_HAZ_DGCLASSIFI,227,1)="IMDG",),AND(INDEX(IHZ_HAZ_IMOHAZARDC,227,1)&lt;&gt;"",INDEX(IHZ_HAZ_UNNUMBER,227,1)&lt;&gt;""),TRUE)</f>
        <v>1</v>
      </c>
      <c r="H1484" t="str">
        <f t="shared" si="46"/>
        <v>Row 227 - If ‘DG classification’ is ‘IMDG’ the ‘IMO Hazard Class’ and ‘UN Number’ is mandatory</v>
      </c>
      <c r="J1484" t="b">
        <f>IF(OR(INDEX(OHZ_HAZ_DGCLASSIFI,227,1)="IMDG",),AND(INDEX(OHZ_HAZ_IMOHAZARDC,227,1)&lt;&gt;"",INDEX(OHZ_HAZ_UNNUMBER,227,1)&lt;&gt;""),TRUE)</f>
        <v>1</v>
      </c>
      <c r="K1484" t="str">
        <f t="shared" si="47"/>
        <v>Row 227 - If ‘DG classification’ is ‘IMDG’ the ‘IMO Hazard Class’ and ‘UN Number’ is mandatory</v>
      </c>
    </row>
    <row r="1485" spans="7:11" x14ac:dyDescent="0.25">
      <c r="G1485" t="b">
        <f>IF(OR(INDEX(IHZ_HAZ_DGCLASSIFI,228,1)="IMDG",),AND(INDEX(IHZ_HAZ_IMOHAZARDC,228,1)&lt;&gt;"",INDEX(IHZ_HAZ_UNNUMBER,228,1)&lt;&gt;""),TRUE)</f>
        <v>1</v>
      </c>
      <c r="H1485" t="str">
        <f t="shared" si="46"/>
        <v>Row 228 - If ‘DG classification’ is ‘IMDG’ the ‘IMO Hazard Class’ and ‘UN Number’ is mandatory</v>
      </c>
      <c r="J1485" t="b">
        <f>IF(OR(INDEX(OHZ_HAZ_DGCLASSIFI,228,1)="IMDG",),AND(INDEX(OHZ_HAZ_IMOHAZARDC,228,1)&lt;&gt;"",INDEX(OHZ_HAZ_UNNUMBER,228,1)&lt;&gt;""),TRUE)</f>
        <v>1</v>
      </c>
      <c r="K1485" t="str">
        <f t="shared" si="47"/>
        <v>Row 228 - If ‘DG classification’ is ‘IMDG’ the ‘IMO Hazard Class’ and ‘UN Number’ is mandatory</v>
      </c>
    </row>
    <row r="1486" spans="7:11" x14ac:dyDescent="0.25">
      <c r="G1486" t="b">
        <f>IF(OR(INDEX(IHZ_HAZ_DGCLASSIFI,229,1)="IMDG",),AND(INDEX(IHZ_HAZ_IMOHAZARDC,229,1)&lt;&gt;"",INDEX(IHZ_HAZ_UNNUMBER,229,1)&lt;&gt;""),TRUE)</f>
        <v>1</v>
      </c>
      <c r="H1486" t="str">
        <f t="shared" si="46"/>
        <v>Row 229 - If ‘DG classification’ is ‘IMDG’ the ‘IMO Hazard Class’ and ‘UN Number’ is mandatory</v>
      </c>
      <c r="J1486" t="b">
        <f>IF(OR(INDEX(OHZ_HAZ_DGCLASSIFI,229,1)="IMDG",),AND(INDEX(OHZ_HAZ_IMOHAZARDC,229,1)&lt;&gt;"",INDEX(OHZ_HAZ_UNNUMBER,229,1)&lt;&gt;""),TRUE)</f>
        <v>1</v>
      </c>
      <c r="K1486" t="str">
        <f t="shared" si="47"/>
        <v>Row 229 - If ‘DG classification’ is ‘IMDG’ the ‘IMO Hazard Class’ and ‘UN Number’ is mandatory</v>
      </c>
    </row>
    <row r="1487" spans="7:11" x14ac:dyDescent="0.25">
      <c r="G1487" t="b">
        <f>IF(OR(INDEX(IHZ_HAZ_DGCLASSIFI,230,1)="IMDG",),AND(INDEX(IHZ_HAZ_IMOHAZARDC,230,1)&lt;&gt;"",INDEX(IHZ_HAZ_UNNUMBER,230,1)&lt;&gt;""),TRUE)</f>
        <v>1</v>
      </c>
      <c r="H1487" t="str">
        <f t="shared" si="46"/>
        <v>Row 230 - If ‘DG classification’ is ‘IMDG’ the ‘IMO Hazard Class’ and ‘UN Number’ is mandatory</v>
      </c>
      <c r="J1487" t="b">
        <f>IF(OR(INDEX(OHZ_HAZ_DGCLASSIFI,230,1)="IMDG",),AND(INDEX(OHZ_HAZ_IMOHAZARDC,230,1)&lt;&gt;"",INDEX(OHZ_HAZ_UNNUMBER,230,1)&lt;&gt;""),TRUE)</f>
        <v>1</v>
      </c>
      <c r="K1487" t="str">
        <f t="shared" si="47"/>
        <v>Row 230 - If ‘DG classification’ is ‘IMDG’ the ‘IMO Hazard Class’ and ‘UN Number’ is mandatory</v>
      </c>
    </row>
    <row r="1488" spans="7:11" x14ac:dyDescent="0.25">
      <c r="G1488" t="b">
        <f>IF(OR(INDEX(IHZ_HAZ_DGCLASSIFI,231,1)="IMDG",),AND(INDEX(IHZ_HAZ_IMOHAZARDC,231,1)&lt;&gt;"",INDEX(IHZ_HAZ_UNNUMBER,231,1)&lt;&gt;""),TRUE)</f>
        <v>1</v>
      </c>
      <c r="H1488" t="str">
        <f t="shared" si="46"/>
        <v>Row 231 - If ‘DG classification’ is ‘IMDG’ the ‘IMO Hazard Class’ and ‘UN Number’ is mandatory</v>
      </c>
      <c r="J1488" t="b">
        <f>IF(OR(INDEX(OHZ_HAZ_DGCLASSIFI,231,1)="IMDG",),AND(INDEX(OHZ_HAZ_IMOHAZARDC,231,1)&lt;&gt;"",INDEX(OHZ_HAZ_UNNUMBER,231,1)&lt;&gt;""),TRUE)</f>
        <v>1</v>
      </c>
      <c r="K1488" t="str">
        <f t="shared" si="47"/>
        <v>Row 231 - If ‘DG classification’ is ‘IMDG’ the ‘IMO Hazard Class’ and ‘UN Number’ is mandatory</v>
      </c>
    </row>
    <row r="1489" spans="7:11" x14ac:dyDescent="0.25">
      <c r="G1489" t="b">
        <f>IF(OR(INDEX(IHZ_HAZ_DGCLASSIFI,232,1)="IMDG",),AND(INDEX(IHZ_HAZ_IMOHAZARDC,232,1)&lt;&gt;"",INDEX(IHZ_HAZ_UNNUMBER,232,1)&lt;&gt;""),TRUE)</f>
        <v>1</v>
      </c>
      <c r="H1489" t="str">
        <f t="shared" si="46"/>
        <v>Row 232 - If ‘DG classification’ is ‘IMDG’ the ‘IMO Hazard Class’ and ‘UN Number’ is mandatory</v>
      </c>
      <c r="J1489" t="b">
        <f>IF(OR(INDEX(OHZ_HAZ_DGCLASSIFI,232,1)="IMDG",),AND(INDEX(OHZ_HAZ_IMOHAZARDC,232,1)&lt;&gt;"",INDEX(OHZ_HAZ_UNNUMBER,232,1)&lt;&gt;""),TRUE)</f>
        <v>1</v>
      </c>
      <c r="K1489" t="str">
        <f t="shared" si="47"/>
        <v>Row 232 - If ‘DG classification’ is ‘IMDG’ the ‘IMO Hazard Class’ and ‘UN Number’ is mandatory</v>
      </c>
    </row>
    <row r="1490" spans="7:11" x14ac:dyDescent="0.25">
      <c r="G1490" t="b">
        <f>IF(OR(INDEX(IHZ_HAZ_DGCLASSIFI,233,1)="IMDG",),AND(INDEX(IHZ_HAZ_IMOHAZARDC,233,1)&lt;&gt;"",INDEX(IHZ_HAZ_UNNUMBER,233,1)&lt;&gt;""),TRUE)</f>
        <v>1</v>
      </c>
      <c r="H1490" t="str">
        <f t="shared" si="46"/>
        <v>Row 233 - If ‘DG classification’ is ‘IMDG’ the ‘IMO Hazard Class’ and ‘UN Number’ is mandatory</v>
      </c>
      <c r="J1490" t="b">
        <f>IF(OR(INDEX(OHZ_HAZ_DGCLASSIFI,233,1)="IMDG",),AND(INDEX(OHZ_HAZ_IMOHAZARDC,233,1)&lt;&gt;"",INDEX(OHZ_HAZ_UNNUMBER,233,1)&lt;&gt;""),TRUE)</f>
        <v>1</v>
      </c>
      <c r="K1490" t="str">
        <f t="shared" si="47"/>
        <v>Row 233 - If ‘DG classification’ is ‘IMDG’ the ‘IMO Hazard Class’ and ‘UN Number’ is mandatory</v>
      </c>
    </row>
    <row r="1491" spans="7:11" x14ac:dyDescent="0.25">
      <c r="G1491" t="b">
        <f>IF(OR(INDEX(IHZ_HAZ_DGCLASSIFI,234,1)="IMDG",),AND(INDEX(IHZ_HAZ_IMOHAZARDC,234,1)&lt;&gt;"",INDEX(IHZ_HAZ_UNNUMBER,234,1)&lt;&gt;""),TRUE)</f>
        <v>1</v>
      </c>
      <c r="H1491" t="str">
        <f t="shared" si="46"/>
        <v>Row 234 - If ‘DG classification’ is ‘IMDG’ the ‘IMO Hazard Class’ and ‘UN Number’ is mandatory</v>
      </c>
      <c r="J1491" t="b">
        <f>IF(OR(INDEX(OHZ_HAZ_DGCLASSIFI,234,1)="IMDG",),AND(INDEX(OHZ_HAZ_IMOHAZARDC,234,1)&lt;&gt;"",INDEX(OHZ_HAZ_UNNUMBER,234,1)&lt;&gt;""),TRUE)</f>
        <v>1</v>
      </c>
      <c r="K1491" t="str">
        <f t="shared" si="47"/>
        <v>Row 234 - If ‘DG classification’ is ‘IMDG’ the ‘IMO Hazard Class’ and ‘UN Number’ is mandatory</v>
      </c>
    </row>
    <row r="1492" spans="7:11" x14ac:dyDescent="0.25">
      <c r="G1492" t="b">
        <f>IF(OR(INDEX(IHZ_HAZ_DGCLASSIFI,235,1)="IMDG",),AND(INDEX(IHZ_HAZ_IMOHAZARDC,235,1)&lt;&gt;"",INDEX(IHZ_HAZ_UNNUMBER,235,1)&lt;&gt;""),TRUE)</f>
        <v>1</v>
      </c>
      <c r="H1492" t="str">
        <f t="shared" si="46"/>
        <v>Row 235 - If ‘DG classification’ is ‘IMDG’ the ‘IMO Hazard Class’ and ‘UN Number’ is mandatory</v>
      </c>
      <c r="J1492" t="b">
        <f>IF(OR(INDEX(OHZ_HAZ_DGCLASSIFI,235,1)="IMDG",),AND(INDEX(OHZ_HAZ_IMOHAZARDC,235,1)&lt;&gt;"",INDEX(OHZ_HAZ_UNNUMBER,235,1)&lt;&gt;""),TRUE)</f>
        <v>1</v>
      </c>
      <c r="K1492" t="str">
        <f t="shared" si="47"/>
        <v>Row 235 - If ‘DG classification’ is ‘IMDG’ the ‘IMO Hazard Class’ and ‘UN Number’ is mandatory</v>
      </c>
    </row>
    <row r="1493" spans="7:11" x14ac:dyDescent="0.25">
      <c r="G1493" t="b">
        <f>IF(OR(INDEX(IHZ_HAZ_DGCLASSIFI,236,1)="IMDG",),AND(INDEX(IHZ_HAZ_IMOHAZARDC,236,1)&lt;&gt;"",INDEX(IHZ_HAZ_UNNUMBER,236,1)&lt;&gt;""),TRUE)</f>
        <v>1</v>
      </c>
      <c r="H1493" t="str">
        <f t="shared" si="46"/>
        <v>Row 236 - If ‘DG classification’ is ‘IMDG’ the ‘IMO Hazard Class’ and ‘UN Number’ is mandatory</v>
      </c>
      <c r="J1493" t="b">
        <f>IF(OR(INDEX(OHZ_HAZ_DGCLASSIFI,236,1)="IMDG",),AND(INDEX(OHZ_HAZ_IMOHAZARDC,236,1)&lt;&gt;"",INDEX(OHZ_HAZ_UNNUMBER,236,1)&lt;&gt;""),TRUE)</f>
        <v>1</v>
      </c>
      <c r="K1493" t="str">
        <f t="shared" si="47"/>
        <v>Row 236 - If ‘DG classification’ is ‘IMDG’ the ‘IMO Hazard Class’ and ‘UN Number’ is mandatory</v>
      </c>
    </row>
    <row r="1494" spans="7:11" x14ac:dyDescent="0.25">
      <c r="G1494" t="b">
        <f>IF(OR(INDEX(IHZ_HAZ_DGCLASSIFI,237,1)="IMDG",),AND(INDEX(IHZ_HAZ_IMOHAZARDC,237,1)&lt;&gt;"",INDEX(IHZ_HAZ_UNNUMBER,237,1)&lt;&gt;""),TRUE)</f>
        <v>1</v>
      </c>
      <c r="H1494" t="str">
        <f t="shared" si="46"/>
        <v>Row 237 - If ‘DG classification’ is ‘IMDG’ the ‘IMO Hazard Class’ and ‘UN Number’ is mandatory</v>
      </c>
      <c r="J1494" t="b">
        <f>IF(OR(INDEX(OHZ_HAZ_DGCLASSIFI,237,1)="IMDG",),AND(INDEX(OHZ_HAZ_IMOHAZARDC,237,1)&lt;&gt;"",INDEX(OHZ_HAZ_UNNUMBER,237,1)&lt;&gt;""),TRUE)</f>
        <v>1</v>
      </c>
      <c r="K1494" t="str">
        <f t="shared" si="47"/>
        <v>Row 237 - If ‘DG classification’ is ‘IMDG’ the ‘IMO Hazard Class’ and ‘UN Number’ is mandatory</v>
      </c>
    </row>
    <row r="1495" spans="7:11" x14ac:dyDescent="0.25">
      <c r="G1495" t="b">
        <f>IF(OR(INDEX(IHZ_HAZ_DGCLASSIFI,238,1)="IMDG",),AND(INDEX(IHZ_HAZ_IMOHAZARDC,238,1)&lt;&gt;"",INDEX(IHZ_HAZ_UNNUMBER,238,1)&lt;&gt;""),TRUE)</f>
        <v>1</v>
      </c>
      <c r="H1495" t="str">
        <f t="shared" si="46"/>
        <v>Row 238 - If ‘DG classification’ is ‘IMDG’ the ‘IMO Hazard Class’ and ‘UN Number’ is mandatory</v>
      </c>
      <c r="J1495" t="b">
        <f>IF(OR(INDEX(OHZ_HAZ_DGCLASSIFI,238,1)="IMDG",),AND(INDEX(OHZ_HAZ_IMOHAZARDC,238,1)&lt;&gt;"",INDEX(OHZ_HAZ_UNNUMBER,238,1)&lt;&gt;""),TRUE)</f>
        <v>1</v>
      </c>
      <c r="K1495" t="str">
        <f t="shared" si="47"/>
        <v>Row 238 - If ‘DG classification’ is ‘IMDG’ the ‘IMO Hazard Class’ and ‘UN Number’ is mandatory</v>
      </c>
    </row>
    <row r="1496" spans="7:11" x14ac:dyDescent="0.25">
      <c r="G1496" t="b">
        <f>IF(OR(INDEX(IHZ_HAZ_DGCLASSIFI,239,1)="IMDG",),AND(INDEX(IHZ_HAZ_IMOHAZARDC,239,1)&lt;&gt;"",INDEX(IHZ_HAZ_UNNUMBER,239,1)&lt;&gt;""),TRUE)</f>
        <v>1</v>
      </c>
      <c r="H1496" t="str">
        <f t="shared" si="46"/>
        <v>Row 239 - If ‘DG classification’ is ‘IMDG’ the ‘IMO Hazard Class’ and ‘UN Number’ is mandatory</v>
      </c>
      <c r="J1496" t="b">
        <f>IF(OR(INDEX(OHZ_HAZ_DGCLASSIFI,239,1)="IMDG",),AND(INDEX(OHZ_HAZ_IMOHAZARDC,239,1)&lt;&gt;"",INDEX(OHZ_HAZ_UNNUMBER,239,1)&lt;&gt;""),TRUE)</f>
        <v>1</v>
      </c>
      <c r="K1496" t="str">
        <f t="shared" si="47"/>
        <v>Row 239 - If ‘DG classification’ is ‘IMDG’ the ‘IMO Hazard Class’ and ‘UN Number’ is mandatory</v>
      </c>
    </row>
    <row r="1497" spans="7:11" x14ac:dyDescent="0.25">
      <c r="G1497" t="b">
        <f>IF(OR(INDEX(IHZ_HAZ_DGCLASSIFI,240,1)="IMDG",),AND(INDEX(IHZ_HAZ_IMOHAZARDC,240,1)&lt;&gt;"",INDEX(IHZ_HAZ_UNNUMBER,240,1)&lt;&gt;""),TRUE)</f>
        <v>1</v>
      </c>
      <c r="H1497" t="str">
        <f t="shared" si="46"/>
        <v>Row 240 - If ‘DG classification’ is ‘IMDG’ the ‘IMO Hazard Class’ and ‘UN Number’ is mandatory</v>
      </c>
      <c r="J1497" t="b">
        <f>IF(OR(INDEX(OHZ_HAZ_DGCLASSIFI,240,1)="IMDG",),AND(INDEX(OHZ_HAZ_IMOHAZARDC,240,1)&lt;&gt;"",INDEX(OHZ_HAZ_UNNUMBER,240,1)&lt;&gt;""),TRUE)</f>
        <v>1</v>
      </c>
      <c r="K1497" t="str">
        <f t="shared" si="47"/>
        <v>Row 240 - If ‘DG classification’ is ‘IMDG’ the ‘IMO Hazard Class’ and ‘UN Number’ is mandatory</v>
      </c>
    </row>
    <row r="1498" spans="7:11" x14ac:dyDescent="0.25">
      <c r="G1498" t="b">
        <f>IF(OR(INDEX(IHZ_HAZ_DGCLASSIFI,241,1)="IMDG",),AND(INDEX(IHZ_HAZ_IMOHAZARDC,241,1)&lt;&gt;"",INDEX(IHZ_HAZ_UNNUMBER,241,1)&lt;&gt;""),TRUE)</f>
        <v>1</v>
      </c>
      <c r="H1498" t="str">
        <f t="shared" si="46"/>
        <v>Row 241 - If ‘DG classification’ is ‘IMDG’ the ‘IMO Hazard Class’ and ‘UN Number’ is mandatory</v>
      </c>
      <c r="J1498" t="b">
        <f>IF(OR(INDEX(OHZ_HAZ_DGCLASSIFI,241,1)="IMDG",),AND(INDEX(OHZ_HAZ_IMOHAZARDC,241,1)&lt;&gt;"",INDEX(OHZ_HAZ_UNNUMBER,241,1)&lt;&gt;""),TRUE)</f>
        <v>1</v>
      </c>
      <c r="K1498" t="str">
        <f t="shared" si="47"/>
        <v>Row 241 - If ‘DG classification’ is ‘IMDG’ the ‘IMO Hazard Class’ and ‘UN Number’ is mandatory</v>
      </c>
    </row>
    <row r="1499" spans="7:11" x14ac:dyDescent="0.25">
      <c r="G1499" t="b">
        <f>IF(OR(INDEX(IHZ_HAZ_DGCLASSIFI,242,1)="IMDG",),AND(INDEX(IHZ_HAZ_IMOHAZARDC,242,1)&lt;&gt;"",INDEX(IHZ_HAZ_UNNUMBER,242,1)&lt;&gt;""),TRUE)</f>
        <v>1</v>
      </c>
      <c r="H1499" t="str">
        <f t="shared" si="46"/>
        <v>Row 242 - If ‘DG classification’ is ‘IMDG’ the ‘IMO Hazard Class’ and ‘UN Number’ is mandatory</v>
      </c>
      <c r="J1499" t="b">
        <f>IF(OR(INDEX(OHZ_HAZ_DGCLASSIFI,242,1)="IMDG",),AND(INDEX(OHZ_HAZ_IMOHAZARDC,242,1)&lt;&gt;"",INDEX(OHZ_HAZ_UNNUMBER,242,1)&lt;&gt;""),TRUE)</f>
        <v>1</v>
      </c>
      <c r="K1499" t="str">
        <f t="shared" si="47"/>
        <v>Row 242 - If ‘DG classification’ is ‘IMDG’ the ‘IMO Hazard Class’ and ‘UN Number’ is mandatory</v>
      </c>
    </row>
    <row r="1500" spans="7:11" x14ac:dyDescent="0.25">
      <c r="G1500" t="b">
        <f>IF(OR(INDEX(IHZ_HAZ_DGCLASSIFI,243,1)="IMDG",),AND(INDEX(IHZ_HAZ_IMOHAZARDC,243,1)&lt;&gt;"",INDEX(IHZ_HAZ_UNNUMBER,243,1)&lt;&gt;""),TRUE)</f>
        <v>1</v>
      </c>
      <c r="H1500" t="str">
        <f t="shared" si="46"/>
        <v>Row 243 - If ‘DG classification’ is ‘IMDG’ the ‘IMO Hazard Class’ and ‘UN Number’ is mandatory</v>
      </c>
      <c r="J1500" t="b">
        <f>IF(OR(INDEX(OHZ_HAZ_DGCLASSIFI,243,1)="IMDG",),AND(INDEX(OHZ_HAZ_IMOHAZARDC,243,1)&lt;&gt;"",INDEX(OHZ_HAZ_UNNUMBER,243,1)&lt;&gt;""),TRUE)</f>
        <v>1</v>
      </c>
      <c r="K1500" t="str">
        <f t="shared" si="47"/>
        <v>Row 243 - If ‘DG classification’ is ‘IMDG’ the ‘IMO Hazard Class’ and ‘UN Number’ is mandatory</v>
      </c>
    </row>
    <row r="1501" spans="7:11" x14ac:dyDescent="0.25">
      <c r="G1501" t="b">
        <f>IF(OR(INDEX(IHZ_HAZ_DGCLASSIFI,244,1)="IMDG",),AND(INDEX(IHZ_HAZ_IMOHAZARDC,244,1)&lt;&gt;"",INDEX(IHZ_HAZ_UNNUMBER,244,1)&lt;&gt;""),TRUE)</f>
        <v>1</v>
      </c>
      <c r="H1501" t="str">
        <f t="shared" si="46"/>
        <v>Row 244 - If ‘DG classification’ is ‘IMDG’ the ‘IMO Hazard Class’ and ‘UN Number’ is mandatory</v>
      </c>
      <c r="J1501" t="b">
        <f>IF(OR(INDEX(OHZ_HAZ_DGCLASSIFI,244,1)="IMDG",),AND(INDEX(OHZ_HAZ_IMOHAZARDC,244,1)&lt;&gt;"",INDEX(OHZ_HAZ_UNNUMBER,244,1)&lt;&gt;""),TRUE)</f>
        <v>1</v>
      </c>
      <c r="K1501" t="str">
        <f t="shared" si="47"/>
        <v>Row 244 - If ‘DG classification’ is ‘IMDG’ the ‘IMO Hazard Class’ and ‘UN Number’ is mandatory</v>
      </c>
    </row>
    <row r="1502" spans="7:11" x14ac:dyDescent="0.25">
      <c r="G1502" t="b">
        <f>IF(OR(INDEX(IHZ_HAZ_DGCLASSIFI,245,1)="IMDG",),AND(INDEX(IHZ_HAZ_IMOHAZARDC,245,1)&lt;&gt;"",INDEX(IHZ_HAZ_UNNUMBER,245,1)&lt;&gt;""),TRUE)</f>
        <v>1</v>
      </c>
      <c r="H1502" t="str">
        <f t="shared" si="46"/>
        <v>Row 245 - If ‘DG classification’ is ‘IMDG’ the ‘IMO Hazard Class’ and ‘UN Number’ is mandatory</v>
      </c>
      <c r="J1502" t="b">
        <f>IF(OR(INDEX(OHZ_HAZ_DGCLASSIFI,245,1)="IMDG",),AND(INDEX(OHZ_HAZ_IMOHAZARDC,245,1)&lt;&gt;"",INDEX(OHZ_HAZ_UNNUMBER,245,1)&lt;&gt;""),TRUE)</f>
        <v>1</v>
      </c>
      <c r="K1502" t="str">
        <f t="shared" si="47"/>
        <v>Row 245 - If ‘DG classification’ is ‘IMDG’ the ‘IMO Hazard Class’ and ‘UN Number’ is mandatory</v>
      </c>
    </row>
    <row r="1503" spans="7:11" x14ac:dyDescent="0.25">
      <c r="G1503" t="b">
        <f>IF(OR(INDEX(IHZ_HAZ_DGCLASSIFI,246,1)="IMDG",),AND(INDEX(IHZ_HAZ_IMOHAZARDC,246,1)&lt;&gt;"",INDEX(IHZ_HAZ_UNNUMBER,246,1)&lt;&gt;""),TRUE)</f>
        <v>1</v>
      </c>
      <c r="H1503" t="str">
        <f t="shared" si="46"/>
        <v>Row 246 - If ‘DG classification’ is ‘IMDG’ the ‘IMO Hazard Class’ and ‘UN Number’ is mandatory</v>
      </c>
      <c r="J1503" t="b">
        <f>IF(OR(INDEX(OHZ_HAZ_DGCLASSIFI,246,1)="IMDG",),AND(INDEX(OHZ_HAZ_IMOHAZARDC,246,1)&lt;&gt;"",INDEX(OHZ_HAZ_UNNUMBER,246,1)&lt;&gt;""),TRUE)</f>
        <v>1</v>
      </c>
      <c r="K1503" t="str">
        <f t="shared" si="47"/>
        <v>Row 246 - If ‘DG classification’ is ‘IMDG’ the ‘IMO Hazard Class’ and ‘UN Number’ is mandatory</v>
      </c>
    </row>
    <row r="1504" spans="7:11" x14ac:dyDescent="0.25">
      <c r="G1504" t="b">
        <f>IF(OR(INDEX(IHZ_HAZ_DGCLASSIFI,247,1)="IMDG",),AND(INDEX(IHZ_HAZ_IMOHAZARDC,247,1)&lt;&gt;"",INDEX(IHZ_HAZ_UNNUMBER,247,1)&lt;&gt;""),TRUE)</f>
        <v>1</v>
      </c>
      <c r="H1504" t="str">
        <f t="shared" si="46"/>
        <v>Row 247 - If ‘DG classification’ is ‘IMDG’ the ‘IMO Hazard Class’ and ‘UN Number’ is mandatory</v>
      </c>
      <c r="J1504" t="b">
        <f>IF(OR(INDEX(OHZ_HAZ_DGCLASSIFI,247,1)="IMDG",),AND(INDEX(OHZ_HAZ_IMOHAZARDC,247,1)&lt;&gt;"",INDEX(OHZ_HAZ_UNNUMBER,247,1)&lt;&gt;""),TRUE)</f>
        <v>1</v>
      </c>
      <c r="K1504" t="str">
        <f t="shared" si="47"/>
        <v>Row 247 - If ‘DG classification’ is ‘IMDG’ the ‘IMO Hazard Class’ and ‘UN Number’ is mandatory</v>
      </c>
    </row>
    <row r="1505" spans="7:11" x14ac:dyDescent="0.25">
      <c r="G1505" t="b">
        <f>IF(OR(INDEX(IHZ_HAZ_DGCLASSIFI,248,1)="IMDG",),AND(INDEX(IHZ_HAZ_IMOHAZARDC,248,1)&lt;&gt;"",INDEX(IHZ_HAZ_UNNUMBER,248,1)&lt;&gt;""),TRUE)</f>
        <v>1</v>
      </c>
      <c r="H1505" t="str">
        <f t="shared" si="46"/>
        <v>Row 248 - If ‘DG classification’ is ‘IMDG’ the ‘IMO Hazard Class’ and ‘UN Number’ is mandatory</v>
      </c>
      <c r="J1505" t="b">
        <f>IF(OR(INDEX(OHZ_HAZ_DGCLASSIFI,248,1)="IMDG",),AND(INDEX(OHZ_HAZ_IMOHAZARDC,248,1)&lt;&gt;"",INDEX(OHZ_HAZ_UNNUMBER,248,1)&lt;&gt;""),TRUE)</f>
        <v>1</v>
      </c>
      <c r="K1505" t="str">
        <f t="shared" si="47"/>
        <v>Row 248 - If ‘DG classification’ is ‘IMDG’ the ‘IMO Hazard Class’ and ‘UN Number’ is mandatory</v>
      </c>
    </row>
    <row r="1506" spans="7:11" x14ac:dyDescent="0.25">
      <c r="G1506" t="b">
        <f>IF(OR(INDEX(IHZ_HAZ_DGCLASSIFI,249,1)="IMDG",),AND(INDEX(IHZ_HAZ_IMOHAZARDC,249,1)&lt;&gt;"",INDEX(IHZ_HAZ_UNNUMBER,249,1)&lt;&gt;""),TRUE)</f>
        <v>1</v>
      </c>
      <c r="H1506" t="str">
        <f t="shared" si="46"/>
        <v>Row 249 - If ‘DG classification’ is ‘IMDG’ the ‘IMO Hazard Class’ and ‘UN Number’ is mandatory</v>
      </c>
      <c r="J1506" t="b">
        <f>IF(OR(INDEX(OHZ_HAZ_DGCLASSIFI,249,1)="IMDG",),AND(INDEX(OHZ_HAZ_IMOHAZARDC,249,1)&lt;&gt;"",INDEX(OHZ_HAZ_UNNUMBER,249,1)&lt;&gt;""),TRUE)</f>
        <v>1</v>
      </c>
      <c r="K1506" t="str">
        <f t="shared" si="47"/>
        <v>Row 249 - If ‘DG classification’ is ‘IMDG’ the ‘IMO Hazard Class’ and ‘UN Number’ is mandatory</v>
      </c>
    </row>
    <row r="1507" spans="7:11" x14ac:dyDescent="0.25">
      <c r="G1507" t="b">
        <f>IF(OR(INDEX(IHZ_HAZ_DGCLASSIFI,250,1)="IMDG",),AND(INDEX(IHZ_HAZ_IMOHAZARDC,250,1)&lt;&gt;"",INDEX(IHZ_HAZ_UNNUMBER,250,1)&lt;&gt;""),TRUE)</f>
        <v>1</v>
      </c>
      <c r="H1507" t="str">
        <f t="shared" si="46"/>
        <v>Row 250 - If ‘DG classification’ is ‘IMDG’ the ‘IMO Hazard Class’ and ‘UN Number’ is mandatory</v>
      </c>
      <c r="J1507" t="b">
        <f>IF(OR(INDEX(OHZ_HAZ_DGCLASSIFI,250,1)="IMDG",),AND(INDEX(OHZ_HAZ_IMOHAZARDC,250,1)&lt;&gt;"",INDEX(OHZ_HAZ_UNNUMBER,250,1)&lt;&gt;""),TRUE)</f>
        <v>1</v>
      </c>
      <c r="K1507" t="str">
        <f t="shared" si="47"/>
        <v>Row 250 - If ‘DG classification’ is ‘IMDG’ the ‘IMO Hazard Class’ and ‘UN Number’ is mandatory</v>
      </c>
    </row>
    <row r="1508" spans="7:11" x14ac:dyDescent="0.25">
      <c r="G1508" t="b">
        <f>OR(IHZ_DET_HAZONBOARD="",COUNTIF(REF_YES_NO,IHZ_DET_HAZONBOARD)=1)</f>
        <v>1</v>
      </c>
      <c r="H1508" t="s">
        <v>1530</v>
      </c>
      <c r="J1508" t="b">
        <f>OR(OHZ_DET_HAZONBOARD="",COUNTIF(REF_YES_NO,OHZ_DET_HAZONBOARD)=1)</f>
        <v>1</v>
      </c>
      <c r="K1508" t="s">
        <v>1530</v>
      </c>
    </row>
    <row r="1509" spans="7:11" x14ac:dyDescent="0.25">
      <c r="G1509" t="b">
        <f>OR(IHZ_DET_INFSHIPCLA="",COUNTIF(INF_ship_classes,IHZ_DET_INFSHIPCLA)=1)</f>
        <v>1</v>
      </c>
      <c r="H1509" t="s">
        <v>1531</v>
      </c>
      <c r="J1509" t="b">
        <f>OR(OHZ_DET_INFSHIPCLA="",COUNTIF(INF_ship_classes,OHZ_DET_INFSHIPCLA)=1)</f>
        <v>1</v>
      </c>
      <c r="K1509" t="s">
        <v>1531</v>
      </c>
    </row>
    <row r="1510" spans="7:11" x14ac:dyDescent="0.25">
      <c r="G1510" s="35" t="b">
        <f>LEN(INDEX(IHZ_CON_FIRSTNAME,1,1))&lt;50</f>
        <v>1</v>
      </c>
      <c r="H1510" t="s">
        <v>1532</v>
      </c>
      <c r="J1510" t="b">
        <f>LEN(INDEX(OHZ_CON_FIRSTNAME,1,1))&lt;50</f>
        <v>1</v>
      </c>
      <c r="K1510" t="s">
        <v>1532</v>
      </c>
    </row>
    <row r="1511" spans="7:11" x14ac:dyDescent="0.25">
      <c r="G1511" s="35" t="b">
        <f>LEN(INDEX(IHZ_CON_LASTNAME,1,1))&lt;50</f>
        <v>1</v>
      </c>
      <c r="H1511" t="s">
        <v>1533</v>
      </c>
      <c r="J1511" t="b">
        <f>LEN(INDEX(OHZ_CON_LASTNAME,1,1))&lt;50</f>
        <v>1</v>
      </c>
      <c r="K1511" t="s">
        <v>1533</v>
      </c>
    </row>
    <row r="1512" spans="7:11" x14ac:dyDescent="0.25">
      <c r="G1512" t="e">
        <f>OR(IHZ_CON_LOCODE="",COUNTIF(REF_LOCODES,IHZ_CON_LOCODE)&lt;&gt;0)</f>
        <v>#NAME?</v>
      </c>
      <c r="H1512" t="s">
        <v>1534</v>
      </c>
      <c r="J1512" t="e">
        <f>OR(INDEX(OHZ_CON_LOCODE,1,1)="",COUNTIF(REF_LOCODES,INDEX(OHZ_CON_LOCODE,1,1))&lt;&gt;0)</f>
        <v>#NAME?</v>
      </c>
      <c r="K1512" t="s">
        <v>1534</v>
      </c>
    </row>
    <row r="1513" spans="7:11" x14ac:dyDescent="0.25">
      <c r="G1513" t="b">
        <f ca="1">OR(AND(ISNUMBER(SUMPRODUCT(SEARCH(MID(INDEX(IHZ_CON_PHONE,1,1),ROW(INDIRECT("1:"&amp;LEN(INDEX(IHZ_CON_PHONE,1,1)))),1),"0123456789+"))),LEN(INDEX(IHZ_CON_PHONE,1,1))&lt;=16),INDEX(IHZ_CON_PHONE,1,1)="")</f>
        <v>1</v>
      </c>
      <c r="H1513" t="s">
        <v>1536</v>
      </c>
      <c r="J1513" t="b">
        <f ca="1">OR(AND(ISNUMBER(SUMPRODUCT(SEARCH(MID(INDEX(OHZ_CON_PHONE,1,1),ROW(INDIRECT("1:"&amp;LEN(INDEX(OHZ_CON_PHONE,1,1)))),1),"0123456789+"))),LEN(INDEX(OHZ_CON_PHONE,1,1))&lt;=16),INDEX(OHZ_CON_PHONE,1,1)="")</f>
        <v>1</v>
      </c>
      <c r="K1513" t="s">
        <v>1536</v>
      </c>
    </row>
    <row r="1514" spans="7:11" x14ac:dyDescent="0.25">
      <c r="G1514" t="b">
        <f ca="1">OR(AND(ISNUMBER(SUMPRODUCT(SEARCH(MID(INDEX(IHZ_CON_FAX,1,1),ROW(INDIRECT("1:"&amp;LEN(INDEX(IHZ_CON_FAX,1,1)))),1),"0123456789+"))),LEN(INDEX(IHZ_CON_FAX,1,1))&lt;=16),INDEX(IHZ_CON_FAX,1,1)="")</f>
        <v>1</v>
      </c>
      <c r="H1514" t="s">
        <v>1535</v>
      </c>
      <c r="J1514" t="b">
        <f ca="1">OR(AND(ISNUMBER(SUMPRODUCT(SEARCH(MID(INDEX(OHZ_CON_FAX,1,1),ROW(INDIRECT("1:"&amp;LEN(INDEX(OHZ_CON_FAX,1,1)))),1),"0123456789+"))),LEN(INDEX(OHZ_CON_FAX,1,1))&lt;=16),INDEX(OHZ_CON_FAX,1,1)="")</f>
        <v>1</v>
      </c>
      <c r="K1514" t="s">
        <v>1535</v>
      </c>
    </row>
    <row r="1515" spans="7:11" x14ac:dyDescent="0.25">
      <c r="G1515" t="b">
        <f>IF(OR(ISBLANK(INDEX(IHZ_CON_EMAIL,1,1)),AND(NOT(ISERROR(SEARCH("@",INDEX(IHZ_CON_EMAIL,1,1)))),ISERROR(SEARCH(" ",INDEX(IHZ_CON_EMAIL,1,1))),LEN(INDEX(IHZ_CON_EMAIL,1,1))&lt;=50)),TRUE(),FALSE())</f>
        <v>1</v>
      </c>
      <c r="H1515" t="s">
        <v>1537</v>
      </c>
      <c r="J1515" t="b">
        <f>IF(OR(ISBLANK(INDEX(OHZ_CON_EMAIL,1,1)),AND(NOT(ISERROR(SEARCH("@",INDEX(OHZ_CON_EMAIL,1,1)))),ISERROR(SEARCH(" ",INDEX(OHZ_CON_EMAIL,1,1))),LEN(INDEX(OHZ_CON_EMAIL,1,1))&lt;=50)),TRUE(),FALSE())</f>
        <v>1</v>
      </c>
      <c r="K1515" t="s">
        <v>1537</v>
      </c>
    </row>
    <row r="1516" spans="7:11" x14ac:dyDescent="0.25">
      <c r="G1516" t="b">
        <f>IF(AND(LEFT(INDEX(IHZ_DET_URL,1,1),8)="https://",ISNUMBER(SEARCH(".",INDEX(IHZ_DET_URL,1,1)))),TRUE(),INDEX(IHZ_DET_URL,1,1)="")</f>
        <v>1</v>
      </c>
      <c r="H1516" t="s">
        <v>1538</v>
      </c>
      <c r="J1516" t="b">
        <f>IF(AND(LEFT(INDEX(OHZ_DET_URL,1,1),8)="https://",ISNUMBER(SEARCH(".",INDEX(OHZ_DET_URL,1,1)))),TRUE(),INDEX(OHZ_DET_URL,1,1)="")</f>
        <v>1</v>
      </c>
      <c r="K1516" t="s">
        <v>1538</v>
      </c>
    </row>
    <row r="1517" spans="7:11" x14ac:dyDescent="0.25">
      <c r="G1517" t="b">
        <f>OR(INDEX(IHZ_DET_DOCTYPE,1,1)="",COUNTIF(REF_DOCTYPES,INDEX(IHZ_DET_DOCTYPE,1,1))=1)</f>
        <v>1</v>
      </c>
      <c r="H1517" t="s">
        <v>1539</v>
      </c>
      <c r="J1517" t="b">
        <f>OR(INDEX(OHZ_DET_DOCTYPE,1,1)="",COUNTIF(REF_DOCTYPES,INDEX(OHZ_DET_DOCTYPE,1,1))=1)</f>
        <v>1</v>
      </c>
      <c r="K1517" t="s">
        <v>1539</v>
      </c>
    </row>
    <row r="1518" spans="7:11" x14ac:dyDescent="0.25">
      <c r="G1518" t="b">
        <f>IFERROR(OR(_xlfn.ISFORMULA(INDEX(IHZ_HAZ_CONSIGNMENT,1,1)),AND(INDEX(IHZ_HAZ_CONSIGNMENT,1,1)=INT(INDEX(IHZ_HAZ_CONSIGNMENT,1,1)),INDEX(IHZ_HAZ_CONSIGNMENT,1,1)&lt;1000)),"FALSE")</f>
        <v>1</v>
      </c>
      <c r="H1518" s="497" t="s">
        <v>2018</v>
      </c>
      <c r="J1518" t="b">
        <f>IFERROR(OR(_xlfn.ISFORMULA(INDEX(OHZ_HAZ_CONSIGNMENT,1,1)),AND(INDEX(OHZ_HAZ_CONSIGNMENT,1,1)=INT(INDEX(OHZ_HAZ_CONSIGNMENT,1,1)),INDEX(OHZ_HAZ_CONSIGNMENT,1,1)&lt;1000)),"FALSE")</f>
        <v>1</v>
      </c>
      <c r="K1518" t="s">
        <v>1565</v>
      </c>
    </row>
    <row r="1519" spans="7:11" ht="12.75" customHeight="1" x14ac:dyDescent="0.25">
      <c r="G1519" t="b">
        <f>SUMPRODUCT(--(LEN(IHZ_HAZ_TRANSDOCID)&gt;35))=0</f>
        <v>1</v>
      </c>
      <c r="H1519" t="s">
        <v>1566</v>
      </c>
      <c r="J1519" t="b">
        <f>SUMPRODUCT(--(LEN(OHZ_HAZ_TRANSDOCID)&gt;35))=0</f>
        <v>1</v>
      </c>
      <c r="K1519" t="s">
        <v>1566</v>
      </c>
    </row>
    <row r="1520" spans="7:11" x14ac:dyDescent="0.25">
      <c r="G1520" t="e">
        <f>OR(INDEX(IHZ_HAZ_PORTOFLOADING,1,1)="",COUNTIF(LOCODE,INDEX(IHZ_HAZ_PORTOFLOADING,1,1))&gt;0)</f>
        <v>#NAME?</v>
      </c>
      <c r="H1520" t="s">
        <v>1567</v>
      </c>
      <c r="J1520" t="e">
        <f>OR(INDEX(OHZ_HAZ_PORTOFLOADING,1,1)="",COUNTIF(LOCODE,INDEX(OHZ_HAZ_PORTOFLOADING,1,1))&gt;0)</f>
        <v>#NAME?</v>
      </c>
      <c r="K1520" t="s">
        <v>1567</v>
      </c>
    </row>
    <row r="1521" spans="7:11" x14ac:dyDescent="0.25">
      <c r="G1521" t="e">
        <f>OR(INDEX(IHZ_HAZ_PORTOFDISCHARGE,1,1)="",COUNTIF(LOCODE,INDEX(IHZ_HAZ_PORTOFDISCHARGE,1,1))&gt;0)</f>
        <v>#NAME?</v>
      </c>
      <c r="H1521" t="s">
        <v>1568</v>
      </c>
      <c r="J1521" t="e">
        <f>OR(INDEX(OHZ_HAZ_PORTOFDISCHARGE,1,1)="",COUNTIF(LOCODE,INDEX(OHZ_HAZ_PORTOFDISCHARGE,1,1))&gt;0)</f>
        <v>#NAME?</v>
      </c>
      <c r="K1521" t="s">
        <v>1568</v>
      </c>
    </row>
    <row r="1522" spans="7:11" x14ac:dyDescent="0.25">
      <c r="G1522" t="b">
        <f>IFERROR(OR(_xlfn.ISFORMULA(INDEX(IHZ_HAZ_DPGREF,1,1)),AND(INDEX(IHZ_HAZ_DPGREF,1,1)=INT(INDEX(IHZ_HAZ_DPGREF,1,1)),INDEX(IHZ_HAZ_DPGREF,1,1)&lt;1000)),FALSE)</f>
        <v>1</v>
      </c>
      <c r="H1522" s="497" t="s">
        <v>2018</v>
      </c>
      <c r="J1522" t="b">
        <f>IFERROR(OR(_xlfn.ISFORMULA(INDEX(OHZ_HAZ_DPGREF,1,1)),AND(INDEX(OHZ_HAZ_DPGREF,1,1)=INT(INDEX(OHZ_HAZ_DPGREF,1,1)),INDEX(OHZ_HAZ_DPGREF,1,1)&lt;1000)),FALSE)</f>
        <v>1</v>
      </c>
      <c r="K1522" t="s">
        <v>1569</v>
      </c>
    </row>
    <row r="1523" spans="7:11" x14ac:dyDescent="0.25">
      <c r="G1523" t="b">
        <f>OR(INDEX(IHZ_HAZ_DGCLASSIFI,1,1)="",COUNTIF(REF_DG_CLASSIFICATION,INDEX(IHZ_HAZ_DGCLASSIFI,1,1))=1)</f>
        <v>1</v>
      </c>
      <c r="H1523" t="s">
        <v>1571</v>
      </c>
      <c r="J1523" t="b">
        <f>OR(INDEX(OHZ_HAZ_DGCLASSIFI,1,1)="",COUNTIF(REF_DG_CLASSIFICATION,INDEX(OHZ_HAZ_DGCLASSIFI,1,1))=1)</f>
        <v>1</v>
      </c>
      <c r="K1523" t="s">
        <v>1571</v>
      </c>
    </row>
    <row r="1524" spans="7:11" x14ac:dyDescent="0.25">
      <c r="G1524" t="b">
        <f>SUMPRODUCT(--(LEN(IHZ_HAZ_TEXTUALREF)&gt;351))=0</f>
        <v>1</v>
      </c>
      <c r="H1524" t="s">
        <v>1570</v>
      </c>
      <c r="J1524" t="b">
        <f>SUMPRODUCT(--(LEN(OHZ_HAZ_TEXTUALREF)&gt;351))=0</f>
        <v>1</v>
      </c>
      <c r="K1524" t="s">
        <v>1570</v>
      </c>
    </row>
    <row r="1525" spans="7:11" x14ac:dyDescent="0.25">
      <c r="G1525" t="b">
        <f>SUMPRODUCT(--(LEN(IHZ_HAZ_IMOHAZARDC)&gt;8))=0</f>
        <v>1</v>
      </c>
      <c r="H1525" t="s">
        <v>1572</v>
      </c>
      <c r="J1525" t="b">
        <f>SUMPRODUCT(--(LEN(OHZ_HAZ_IMOHAZARDC)&gt;8))=0</f>
        <v>1</v>
      </c>
      <c r="K1525" t="s">
        <v>1572</v>
      </c>
    </row>
    <row r="1526" spans="7:11" x14ac:dyDescent="0.25">
      <c r="G1526" t="b">
        <f>OR(LEN(INDEX(IHZ_HAZ_UNNUMBER,1,1))=4,LEN(INDEX(IHZ_HAZ_UNNUMBER,1,1))=0,_xlfn.ISFORMULA(INDEX(OHZ_HAZ_UNNUMBER,1,1)))</f>
        <v>1</v>
      </c>
      <c r="H1526" t="s">
        <v>1573</v>
      </c>
      <c r="J1526" t="b">
        <f>OR(LEN(INDEX(OHZ_HAZ_UNNUMBER,1,1))=4,LEN(INDEX(OHZ_HAZ_UNNUMBER,1,1))=0,_xlfn.ISFORMULA(INDEX(OHZ_HAZ_UNNUMBER,1,1)))</f>
        <v>1</v>
      </c>
      <c r="K1526" t="s">
        <v>1573</v>
      </c>
    </row>
    <row r="1527" spans="7:11" x14ac:dyDescent="0.25">
      <c r="G1527" t="b">
        <f>OR(_xlfn.ISFORMULA(INDEX(IHZ_HAZ_TOTAMOUNT,1,1)),IF(OR(ISBLANK(INDEX(IHZ_HAZ_TOTAMOUNT,1,1)),AND(ISNUMBER(INDEX(IHZ_HAZ_TOTAMOUNT,1,1)),LEN(INDEX(IHZ_HAZ_TOTAMOUNT,1,1))-(IF(ISNUMBER(SEARCH(".",INDEX(IHZ_HAZ_TOTAMOUNT,1,1))),SEARCH(".",INDEX(IHZ_HAZ_TOTAMOUNT,1,1)),LEN(INDEX(IHZ_HAZ_TOTAMOUNT,1,1))))&lt;=3,INDEX(IHZ_HAZ_TOTAMOUNT,1,1)&lt;=9999999999999)),TRUE(),FALSE()))</f>
        <v>1</v>
      </c>
      <c r="H1527" t="s">
        <v>1574</v>
      </c>
      <c r="J1527" t="b">
        <f>OR(_xlfn.ISFORMULA(INDEX(OHZ_HAZ_TOTAMOUNT,1,1)),IF(OR(ISBLANK(INDEX(OHZ_HAZ_TOTAMOUNT,1,1)),AND(ISNUMBER(INDEX(OHZ_HAZ_TOTAMOUNT,1,1)),LEN(INDEX(OHZ_HAZ_TOTAMOUNT,1,1))-(IF(ISNUMBER(SEARCH(".",INDEX(OHZ_HAZ_TOTAMOUNT,1,1))),SEARCH(".",INDEX(OHZ_HAZ_TOTAMOUNT,1,1)),LEN(INDEX(OHZ_HAZ_TOTAMOUNT,1,1))))&lt;=3,INDEX(OHZ_HAZ_TOTAMOUNT,1,1)&lt;=9999999999999)),TRUE(),FALSE()))</f>
        <v>1</v>
      </c>
      <c r="K1527" t="s">
        <v>1574</v>
      </c>
    </row>
    <row r="1528" spans="7:11" x14ac:dyDescent="0.25">
      <c r="G1528" t="b">
        <f>OR(INDEX(IHZ_HAZ_TOTNETGROSS,1,1)="Net",INDEX(IHZ_HAZ_TOTNETGROSS,1,1)="Gross",INDEX(IHZ_HAZ_TOTNETGROSS,1,1)="")</f>
        <v>1</v>
      </c>
      <c r="H1528" t="s">
        <v>1575</v>
      </c>
      <c r="J1528" t="b">
        <f>OR(INDEX(OHZ_HAZ_TOTNETGROSS,1,1)="Net",INDEX(OHZ_HAZ_TOTNETGROSS,1,1)="Gross",INDEX(OHZ_HAZ_TOTNETGROSS,1,1)="")</f>
        <v>1</v>
      </c>
      <c r="K1528" t="s">
        <v>1575</v>
      </c>
    </row>
    <row r="1529" spans="7:11" x14ac:dyDescent="0.25">
      <c r="G1529" t="b">
        <f>OR(INDEX(IHZ_HAZ_TOTUNIT,1,1)="",COUNTIF(Units_description,INDEX(IHZ_HAZ_TOTUNIT,1,1))=1)</f>
        <v>1</v>
      </c>
      <c r="H1529" t="s">
        <v>1576</v>
      </c>
      <c r="J1529" t="b">
        <f>OR(INDEX(OHZ_HAZ_TOTUNIT,1,1)="",COUNTIF(Units_description,INDEX(OHZ_HAZ_TOTUNIT,1,1))=1)</f>
        <v>1</v>
      </c>
      <c r="K1529" t="s">
        <v>1576</v>
      </c>
    </row>
    <row r="1530" spans="7:11" x14ac:dyDescent="0.25">
      <c r="G1530" t="b">
        <f>OR(INDEX(IHZ_HAZ_PACKINGGRO,1,1)="",COUNTIF(REF_PACKING_GROUP,INDEX(IHZ_HAZ_PACKINGGRO,1,1))=1)</f>
        <v>1</v>
      </c>
      <c r="H1530" t="s">
        <v>1577</v>
      </c>
      <c r="J1530" t="b">
        <f>OR(INDEX(OHZ_HAZ_PACKINGGRO,1,1)="",COUNTIF(REF_PACKING_GROUP,INDEX(OHZ_HAZ_PACKINGGRO,1,1))=1)</f>
        <v>1</v>
      </c>
      <c r="K1530" t="s">
        <v>1577</v>
      </c>
    </row>
    <row r="1531" spans="7:11" x14ac:dyDescent="0.25">
      <c r="G1531" t="b">
        <f>OR(_xlfn.ISFORMULA(INDEX(IHZ_HAZ_FLASHPOINT,1,1)),(IF(OR(ISBLANK(INDEX(IHZ_HAZ_FLASHPOINT,1,1)),AND(ISNUMBER(INDEX(IHZ_HAZ_FLASHPOINT,1,1)),LEN(INDEX(IHZ_HAZ_FLASHPOINT,1,1))-(IF(ISNUMBER(SEARCH(".",INDEX(IHZ_HAZ_FLASHPOINT,1,1))),SEARCH(".",INDEX(IHZ_HAZ_FLASHPOINT,1,1)),LEN(INDEX(IHZ_HAZ_FLASHPOINT,1,1))))&lt;=3,INDEX(IHZ_HAZ_FLASHPOINT,1,1)&lt;=9999999999,INDEX(IHZ_HAZ_FLASHPOINT,1,1)&gt;=-9999999999)),TRUE(),FALSE())))</f>
        <v>1</v>
      </c>
      <c r="H1531" t="s">
        <v>1578</v>
      </c>
      <c r="J1531" t="b">
        <f>OR(_xlfn.ISFORMULA(INDEX(OHZ_HAZ_FLASHPOINT,1,1)),(IF(OR(ISBLANK(INDEX(OHZ_HAZ_FLASHPOINT,1,1)),AND(ISNUMBER(INDEX(OHZ_HAZ_FLASHPOINT,1,1)),LEN(INDEX(OHZ_HAZ_FLASHPOINT,1,1))-(IF(ISNUMBER(SEARCH(".",INDEX(OHZ_HAZ_FLASHPOINT,1,1))),SEARCH(".",INDEX(OHZ_HAZ_FLASHPOINT,1,1)),LEN(INDEX(OHZ_HAZ_FLASHPOINT,1,1))))&lt;=3,INDEX(OHZ_HAZ_FLASHPOINT,1,1)&lt;=9999999999,INDEX(OHZ_HAZ_FLASHPOINT,1,1)&gt;=-9999999999)),TRUE(),FALSE())))</f>
        <v>1</v>
      </c>
      <c r="K1531" t="s">
        <v>1578</v>
      </c>
    </row>
    <row r="1532" spans="7:11" x14ac:dyDescent="0.25">
      <c r="G1532" t="b">
        <f>OR(INDEX(IHZ_HAZ_MARPOLCODE,1,1)="",COUNTIF(MARPOL_codes,INDEX(IHZ_HAZ_MARPOLCODE,1,1))=1)</f>
        <v>1</v>
      </c>
      <c r="H1532" t="s">
        <v>1579</v>
      </c>
      <c r="J1532" t="b">
        <f>OR(INDEX(OHZ_HAZ_MARPOLCODE,1,1)="",COUNTIF(MARPOL_codes,INDEX(OHZ_HAZ_MARPOLCODE,1,1))=1)</f>
        <v>1</v>
      </c>
      <c r="K1532" t="s">
        <v>1579</v>
      </c>
    </row>
    <row r="1533" spans="7:11" x14ac:dyDescent="0.25">
      <c r="G1533" t="b">
        <f>OR(INDEX(IHZ_HAZ_PACKAGECOD,1,1)="-",INDEX(IHZ_HAZ_PACKAGECOD,1,1)="",COUNTIF(Package_type_code,INDEX(IHZ_HAZ_PACKAGECOD,1,1))&lt;&gt;0)</f>
        <v>1</v>
      </c>
      <c r="H1533" t="s">
        <v>1580</v>
      </c>
      <c r="J1533" t="b">
        <f>OR(INDEX(OHZ_HAZ_PACKAGECOD,1,1)="-",INDEX(OHZ_HAZ_PACKAGECOD,1,1)="",COUNTIF(Package_type_code,INDEX(OHZ_HAZ_PACKAGECOD,1,1))&lt;&gt;0)</f>
        <v>1</v>
      </c>
      <c r="K1533" t="s">
        <v>1580</v>
      </c>
    </row>
    <row r="1534" spans="7:11" x14ac:dyDescent="0.25">
      <c r="G1534" t="b">
        <f>OR(_xlfn.ISFORMULA(INDEX(IHZ_HAZ_TOTALPACKA,1,1)),AND(INT(INDEX(IHZ_HAZ_TOTALPACKA,1,1))=(INDEX(IHZ_HAZ_TOTALPACKA,1,1)),INDEX(IHZ_HAZ_TOTALPACKA,1,1)&lt;1000000000))</f>
        <v>1</v>
      </c>
      <c r="H1534" t="s">
        <v>1581</v>
      </c>
      <c r="J1534" t="b">
        <f>OR(_xlfn.ISFORMULA(INDEX(OHZ_HAZ_TOTALPACKA,1,1)),AND(INT(INDEX(OHZ_HAZ_TOTALPACKA,1,1))=(INDEX(OHZ_HAZ_TOTALPACKA,1,1)),INDEX(OHZ_HAZ_TOTALPACKA,1,1)&lt;1000000000))</f>
        <v>1</v>
      </c>
      <c r="K1534" t="s">
        <v>1581</v>
      </c>
    </row>
    <row r="1535" spans="7:11" x14ac:dyDescent="0.25">
      <c r="G1535" t="b">
        <f>SUMPRODUCT(--(LEN(IHZ_HAZ_ADDITIONAL)&gt;256))=0</f>
        <v>1</v>
      </c>
      <c r="H1535" t="s">
        <v>1582</v>
      </c>
      <c r="J1535" t="b">
        <f>SUMPRODUCT(--(LEN(OHZ_HAZ_ADDITIONAL)&gt;256))=0</f>
        <v>1</v>
      </c>
      <c r="K1535" t="s">
        <v>1582</v>
      </c>
    </row>
    <row r="1536" spans="7:11" x14ac:dyDescent="0.25">
      <c r="G1536" t="b">
        <f>OR(ISBLANK(INDEX(IHZ_HAZ_EMS,1,1)),AND(LEN(INDEX(IHZ_HAZ_EMS,1,1))&lt;=101,LEN(INDEX(IHZ_HAZ_EMS,1,1))-LEN(SUBSTITUTE(INDEX(IHZ_HAZ_EMS,1,1),",",""))&lt;2,LEN(LEFT(INDEX(IHZ_HAZ_EMS,1,1),IF(ISNUMBER(SEARCH(",",INDEX(IHZ_HAZ_EMS,1,1))),SEARCH(",",INDEX(IHZ_HAZ_EMS,1,1))-1,LEN(INDEX(IHZ_HAZ_EMS,1,1)))))&lt;=50,(LEN(INDEX(IHZ_HAZ_EMS,1,1))-1)-LEN(LEFT(INDEX(IHZ_HAZ_EMS,1,1),IF(ISNUMBER(SEARCH(",",INDEX(IHZ_HAZ_EMS,1,1))),SEARCH(",",INDEX(IHZ_HAZ_EMS,1,1))-1,LEN(INDEX(IHZ_HAZ_EMS,1,1)))))&lt;=50))</f>
        <v>1</v>
      </c>
      <c r="H1536" t="s">
        <v>1583</v>
      </c>
      <c r="J1536" t="b">
        <f>OR(ISBLANK(INDEX(OHZ_HAZ_EMS,1,1)),AND(LEN(INDEX(OHZ_HAZ_EMS,1,1))&lt;=101,LEN(INDEX(OHZ_HAZ_EMS,1,1))-LEN(SUBSTITUTE(INDEX(OHZ_HAZ_EMS,1,1),",",""))&lt;2,LEN(LEFT(INDEX(OHZ_HAZ_EMS,1,1),IF(ISNUMBER(SEARCH(",",INDEX(OHZ_HAZ_EMS,1,1))),SEARCH(",",INDEX(OHZ_HAZ_EMS,1,1))-1,LEN(INDEX(OHZ_HAZ_EMS,1,1)))))&lt;=50,(LEN(INDEX(OHZ_HAZ_EMS,1,1))-1)-LEN(LEFT(INDEX(OHZ_HAZ_EMS,1,1),IF(ISNUMBER(SEARCH(",",INDEX(OHZ_HAZ_EMS,1,1))),SEARCH(",",INDEX(OHZ_HAZ_EMS,1,1))-1,LEN(INDEX(OHZ_HAZ_EMS,1,1)))))&lt;=50))</f>
        <v>1</v>
      </c>
      <c r="K1536" t="s">
        <v>1583</v>
      </c>
    </row>
    <row r="1537" spans="7:11" x14ac:dyDescent="0.25">
      <c r="G1537" t="b">
        <f>OR(ISBLANK(INDEX(IHZ_HAZ_SUBSIDIARY,1,1)),AND(LEN(INDEX(IHZ_HAZ_SUBSIDIARY,1,1))&lt;=89,LEN(INDEX(IHZ_HAZ_SUBSIDIARY,1,1))-LEN(SUBSTITUTE(INDEX(IHZ_HAZ_SUBSIDIARY,1,1),",",""))&lt;5))</f>
        <v>1</v>
      </c>
      <c r="H1537" t="s">
        <v>1584</v>
      </c>
      <c r="J1537" t="b">
        <f>OR(ISBLANK(INDEX(OHZ_HAZ_SUBSIDIARY,1,1)),AND(LEN(INDEX(OHZ_HAZ_SUBSIDIARY,1,1))&lt;=89,LEN(INDEX(OHZ_HAZ_SUBSIDIARY,1,1))-LEN(SUBSTITUTE(INDEX(OHZ_HAZ_SUBSIDIARY,1,1),",",""))&lt;5))</f>
        <v>1</v>
      </c>
      <c r="K1537" t="s">
        <v>1584</v>
      </c>
    </row>
    <row r="1538" spans="7:11" x14ac:dyDescent="0.25">
      <c r="G1538" t="b">
        <f>OR(INDEX(IHZ_HAZ_UNITTYPE,1,1)="",INDEX(IHZ_HAZ_UNITTYPE,1,1)="TEU",INDEX(IHZ_HAZ_UNITTYPE,1,1)="Non-TEU")</f>
        <v>1</v>
      </c>
      <c r="H1538" t="s">
        <v>1585</v>
      </c>
      <c r="J1538" t="b">
        <f>OR(INDEX(OHZ_HAZ_UNITTYPE,1,1)="",INDEX(OHZ_HAZ_UNITTYPE,1,1)="TEU",INDEX(OHZ_HAZ_UNITTYPE,1,1)="Non-TEU")</f>
        <v>1</v>
      </c>
      <c r="K1538" t="s">
        <v>1585</v>
      </c>
    </row>
    <row r="1539" spans="7:11" x14ac:dyDescent="0.25">
      <c r="G1539" t="b">
        <f>SUMPRODUCT(--(LEN(IHZ_HAZ_TEUID)&gt;28))=0</f>
        <v>1</v>
      </c>
      <c r="H1539" t="s">
        <v>1586</v>
      </c>
      <c r="J1539" t="b">
        <f>SUMPRODUCT(--(LEN(OHZ_HAZ_TEUID)&gt;28))=0</f>
        <v>1</v>
      </c>
      <c r="K1539" t="s">
        <v>1586</v>
      </c>
    </row>
    <row r="1540" spans="7:11" x14ac:dyDescent="0.25">
      <c r="G1540" t="b">
        <f>SUMPRODUCT(--(LEN(IHZ_HAZ_LOCATION)&gt;26))=0</f>
        <v>1</v>
      </c>
      <c r="H1540" t="s">
        <v>1587</v>
      </c>
      <c r="J1540" t="b">
        <f>SUMPRODUCT(--(LEN(OHZ_HAZ_LOCATION)&gt;26))=0</f>
        <v>1</v>
      </c>
      <c r="K1540" t="s">
        <v>1587</v>
      </c>
    </row>
    <row r="1541" spans="7:11" x14ac:dyDescent="0.25">
      <c r="G1541" t="b">
        <f>OR(_xlfn.ISFORMULA(INDEX(IHZ_HAZ_PACKAGES,1,1)),AND(INT(INDEX(IHZ_HAZ_PACKAGES,1,1))=INDEX(IHZ_HAZ_PACKAGES,1,1),INDEX(IHZ_HAZ_PACKAGES,1,1)&lt;1000000000))</f>
        <v>1</v>
      </c>
      <c r="H1541" t="s">
        <v>1588</v>
      </c>
      <c r="J1541" t="b">
        <f>OR(_xlfn.ISFORMULA(INDEX(OHZ_HAZ_PACKAGES,1,1)),AND(INT(INDEX(OHZ_HAZ_PACKAGES,1,1))=INDEX(OHZ_HAZ_PACKAGES,1,1),INDEX(OHZ_HAZ_PACKAGES,1,1)&lt;1000000000))</f>
        <v>1</v>
      </c>
      <c r="K1541" t="s">
        <v>1588</v>
      </c>
    </row>
    <row r="1542" spans="7:11" x14ac:dyDescent="0.25">
      <c r="G1542" t="b">
        <f>OR(_xlfn.ISFORMULA(INDEX(IHZ_HAZ_AMOUNT,1,1)),IF(OR(ISBLANK(INDEX(IHZ_HAZ_AMOUNT,1,1)),AND(ISNUMBER(INDEX(IHZ_HAZ_AMOUNT,1,1)),LEN(INDEX(IHZ_HAZ_AMOUNT,1,1))-(IF(ISNUMBER(SEARCH(".",INDEX(IHZ_HAZ_AMOUNT,1,1))),SEARCH(".",INDEX(IHZ_HAZ_AMOUNT,1,1)),LEN(INDEX(IHZ_HAZ_AMOUNT,1,1))))&lt;=3,INDEX(IHZ_HAZ_AMOUNT,1,1)&lt;=9999999999999)),TRUE(),FALSE()))</f>
        <v>1</v>
      </c>
      <c r="H1542" t="s">
        <v>1589</v>
      </c>
      <c r="J1542" t="b">
        <f>OR(_xlfn.ISFORMULA(INDEX(OHZ_HAZ_AMOUNT,1,1)),IF(OR(ISBLANK(INDEX(OHZ_HAZ_AMOUNT,1,1)),AND(ISNUMBER(INDEX(OHZ_HAZ_AMOUNT,1,1)),LEN(INDEX(OHZ_HAZ_AMOUNT,1,1))-(IF(ISNUMBER(SEARCH(".",INDEX(OHZ_HAZ_AMOUNT,1,1))),SEARCH(".",INDEX(OHZ_HAZ_AMOUNT,1,1)),LEN(INDEX(OHZ_HAZ_AMOUNT,1,1))))&lt;=3,INDEX(OHZ_HAZ_AMOUNT,1,1)&lt;=9999999999999)),TRUE(),FALSE()))</f>
        <v>1</v>
      </c>
      <c r="K1542" t="s">
        <v>1589</v>
      </c>
    </row>
    <row r="1543" spans="7:11" x14ac:dyDescent="0.25">
      <c r="G1543" t="b">
        <f>OR(INDEX(IHZ_HAZ_NETGROSS,1,1)="Net",INDEX(IHZ_HAZ_NETGROSS,1,1)="Gross",INDEX(IHZ_HAZ_NETGROSS,1,1)="")</f>
        <v>1</v>
      </c>
      <c r="H1543" t="s">
        <v>1590</v>
      </c>
      <c r="J1543" t="b">
        <f>OR(INDEX(OHZ_HAZ_NETGROSS,1,1)="Net",INDEX(OHZ_HAZ_NETGROSS,1,1)="Gross",INDEX(OHZ_HAZ_NETGROSS,1,1)="")</f>
        <v>1</v>
      </c>
      <c r="K1543" t="s">
        <v>1590</v>
      </c>
    </row>
    <row r="1544" spans="7:11" x14ac:dyDescent="0.25">
      <c r="G1544" t="b">
        <f>OR(INDEX(IHZ_HAZ_UNIT,1,1)="",COUNTIF(Units_description,INDEX(IHZ_HAZ_UNIT,1,1))=1)</f>
        <v>1</v>
      </c>
      <c r="H1544" t="s">
        <v>1576</v>
      </c>
      <c r="J1544" t="b">
        <f>OR(INDEX(OHZ_HAZ_UNIT,1,1)="",COUNTIF(Units_description,INDEX(OHZ_HAZ_UNIT,1,1))=1)</f>
        <v>1</v>
      </c>
      <c r="K1544" t="s">
        <v>1576</v>
      </c>
    </row>
    <row r="1545" spans="7:11" x14ac:dyDescent="0.25">
      <c r="G1545" t="b">
        <f>OR(INDEX(IHZ_HAZ_CONSIGNMENT,1,1)&lt;&gt;"",INDEX(IHZ_DET_HAZONBOARD,1,1)="No")</f>
        <v>0</v>
      </c>
      <c r="H1545" t="s">
        <v>1920</v>
      </c>
      <c r="J1545" t="b">
        <f>OR(INDEX(OHZ_HAZ_CONSIGNMENT,1,1)&lt;&gt;"",INDEX(OHZ_DET_HAZONBOARD,1,1)="No")</f>
        <v>0</v>
      </c>
      <c r="K1545" t="s">
        <v>1920</v>
      </c>
    </row>
  </sheetData>
  <sheetProtection password="A656" sheet="1" objects="1" scenarios="1"/>
  <dataValidations disablePrompts="1" count="1">
    <dataValidation allowBlank="1" prompt="Security related matter to report, if any. Max. 255 characters." sqref="B57" xr:uid="{00000000-0002-0000-0B00-000000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0C0"/>
    <pageSetUpPr fitToPage="1"/>
  </sheetPr>
  <dimension ref="A1:AA62"/>
  <sheetViews>
    <sheetView zoomScale="90" zoomScaleNormal="90" workbookViewId="0">
      <pane ySplit="3" topLeftCell="A4" activePane="bottomLeft" state="frozen"/>
      <selection pane="bottomLeft" activeCell="D6" sqref="D6"/>
    </sheetView>
  </sheetViews>
  <sheetFormatPr defaultColWidth="9.1796875" defaultRowHeight="13" x14ac:dyDescent="0.3"/>
  <cols>
    <col min="1" max="1" width="2.453125" style="36" customWidth="1"/>
    <col min="2" max="2" width="10.1796875" style="3" customWidth="1"/>
    <col min="3" max="3" width="25" style="164" customWidth="1"/>
    <col min="4" max="4" width="44.81640625" style="3" customWidth="1"/>
    <col min="5" max="5" width="6" style="3" customWidth="1"/>
    <col min="6" max="6" width="14.26953125" style="11" customWidth="1"/>
    <col min="7" max="7" width="16.54296875" style="3" customWidth="1"/>
    <col min="8" max="8" width="12.7265625" style="3" customWidth="1"/>
    <col min="9" max="9" width="10.7265625" style="3" customWidth="1"/>
    <col min="10" max="10" width="24.26953125" style="3" customWidth="1"/>
    <col min="11" max="11" width="36.54296875" style="3" customWidth="1"/>
    <col min="12" max="16384" width="9.1796875" style="36"/>
  </cols>
  <sheetData>
    <row r="1" spans="1:27" s="34" customFormat="1" ht="4.5" customHeight="1" x14ac:dyDescent="0.25"/>
    <row r="2" spans="1:27" s="77" customFormat="1" ht="20" x14ac:dyDescent="0.25">
      <c r="A2" s="74"/>
      <c r="B2" s="75" t="s">
        <v>1439</v>
      </c>
      <c r="C2" s="75"/>
      <c r="D2" s="75"/>
      <c r="E2" s="256"/>
      <c r="F2" s="256" t="s">
        <v>1498</v>
      </c>
      <c r="G2" s="257" t="str">
        <f>VES_STATUS</f>
        <v>Empty</v>
      </c>
      <c r="H2" s="258" t="str">
        <f>IFERROR(VES_VALID_RES,"")</f>
        <v>At least two of ‘IMO number’, ‘Ship name’, ‘Call sign’ and ‘MMSI number’ must be given</v>
      </c>
      <c r="I2" s="258"/>
      <c r="J2" s="258"/>
      <c r="K2" s="258"/>
      <c r="L2" s="258"/>
      <c r="M2" s="258"/>
      <c r="N2" s="258"/>
      <c r="O2" s="258"/>
      <c r="P2" s="258"/>
      <c r="Q2" s="258"/>
      <c r="R2" s="258"/>
      <c r="S2" s="258"/>
      <c r="T2" s="258"/>
      <c r="U2" s="258"/>
      <c r="V2" s="258"/>
      <c r="W2" s="258"/>
      <c r="X2" s="258"/>
      <c r="Y2" s="258"/>
      <c r="Z2" s="258"/>
      <c r="AA2" s="258"/>
    </row>
    <row r="3" spans="1:27" s="77" customFormat="1" ht="4.5" customHeight="1" x14ac:dyDescent="0.3">
      <c r="B3" s="255"/>
      <c r="C3" s="255"/>
      <c r="D3" s="254"/>
      <c r="E3" s="259"/>
      <c r="F3" s="259"/>
      <c r="G3" s="259"/>
      <c r="H3" s="259"/>
      <c r="I3" s="260"/>
    </row>
    <row r="4" spans="1:27" s="243" customFormat="1" ht="12.75" customHeight="1" thickBot="1" x14ac:dyDescent="0.35">
      <c r="B4" s="11"/>
      <c r="C4" s="11"/>
      <c r="D4" s="164"/>
      <c r="E4" s="31"/>
      <c r="F4" s="31"/>
      <c r="G4" s="31"/>
      <c r="H4" s="31"/>
      <c r="I4" s="8"/>
    </row>
    <row r="5" spans="1:27" ht="20.25" customHeight="1" thickTop="1" x14ac:dyDescent="0.25">
      <c r="B5" s="575" t="s">
        <v>1440</v>
      </c>
      <c r="C5" s="576"/>
      <c r="D5" s="577"/>
      <c r="E5" s="31"/>
      <c r="F5" s="583" t="s">
        <v>2030</v>
      </c>
      <c r="G5" s="584"/>
      <c r="H5" s="584"/>
      <c r="I5" s="585"/>
      <c r="J5" s="36"/>
      <c r="K5" s="36"/>
    </row>
    <row r="6" spans="1:27" ht="12" customHeight="1" x14ac:dyDescent="0.3">
      <c r="B6" s="581" t="s">
        <v>1859</v>
      </c>
      <c r="C6" s="275" t="s">
        <v>1428</v>
      </c>
      <c r="D6" s="277"/>
      <c r="E6" s="498"/>
      <c r="F6" s="587" t="str">
        <f>IF(SUM_SRC_EMAIL&lt;&gt;"",SUM_SRC_EMAIL,"Please set voyage contact email on the summary tab")</f>
        <v>Please set voyage contact email on the summary tab</v>
      </c>
      <c r="G6" s="588"/>
      <c r="H6" s="588"/>
      <c r="I6" s="589"/>
      <c r="J6" s="36"/>
      <c r="K6" s="36"/>
    </row>
    <row r="7" spans="1:27" ht="12" customHeight="1" thickBot="1" x14ac:dyDescent="0.35">
      <c r="B7" s="581"/>
      <c r="C7" s="276" t="s">
        <v>5</v>
      </c>
      <c r="D7" s="278"/>
      <c r="E7" s="498"/>
      <c r="F7" s="590"/>
      <c r="G7" s="591"/>
      <c r="H7" s="591"/>
      <c r="I7" s="592"/>
      <c r="J7" s="36"/>
      <c r="K7" s="36"/>
    </row>
    <row r="8" spans="1:27" ht="12" customHeight="1" thickTop="1" x14ac:dyDescent="0.3">
      <c r="B8" s="581"/>
      <c r="C8" s="276" t="s">
        <v>680</v>
      </c>
      <c r="D8" s="278"/>
      <c r="E8" s="498"/>
      <c r="F8" s="586" t="s">
        <v>2031</v>
      </c>
      <c r="G8" s="586"/>
      <c r="H8" s="586"/>
      <c r="I8" s="586"/>
      <c r="J8" s="36"/>
      <c r="K8" s="36"/>
    </row>
    <row r="9" spans="1:27" ht="12" customHeight="1" x14ac:dyDescent="0.3">
      <c r="B9" s="582"/>
      <c r="C9" s="295" t="s">
        <v>6</v>
      </c>
      <c r="D9" s="279"/>
      <c r="E9" s="498"/>
      <c r="F9" s="132"/>
      <c r="G9" s="132"/>
      <c r="H9" s="132"/>
      <c r="I9" s="32"/>
      <c r="J9" s="36"/>
      <c r="K9" s="36"/>
    </row>
    <row r="10" spans="1:27" ht="12" customHeight="1" thickBot="1" x14ac:dyDescent="0.35">
      <c r="B10" s="296"/>
      <c r="C10" s="297" t="s">
        <v>45</v>
      </c>
      <c r="D10" s="59"/>
      <c r="E10" s="498"/>
      <c r="F10" s="132"/>
      <c r="G10" s="132"/>
      <c r="H10" s="132"/>
      <c r="I10" s="32"/>
      <c r="J10" s="36"/>
      <c r="K10" s="36"/>
    </row>
    <row r="11" spans="1:27" ht="6.75" customHeight="1" thickTop="1" thickBot="1" x14ac:dyDescent="0.3">
      <c r="E11" s="8"/>
      <c r="F11" s="32"/>
      <c r="G11" s="32"/>
      <c r="H11" s="32"/>
      <c r="I11" s="32"/>
      <c r="J11" s="36"/>
      <c r="K11" s="36"/>
    </row>
    <row r="12" spans="1:27" ht="20.25" customHeight="1" thickTop="1" x14ac:dyDescent="0.25">
      <c r="B12" s="575" t="s">
        <v>1441</v>
      </c>
      <c r="C12" s="576"/>
      <c r="D12" s="577"/>
      <c r="E12" s="8"/>
      <c r="F12" s="8"/>
      <c r="G12" s="8"/>
      <c r="H12" s="8"/>
      <c r="I12" s="8"/>
      <c r="J12" s="36"/>
      <c r="K12" s="36"/>
    </row>
    <row r="13" spans="1:27" ht="12" customHeight="1" x14ac:dyDescent="0.3">
      <c r="B13" s="40" t="s">
        <v>51</v>
      </c>
      <c r="C13" s="244"/>
      <c r="D13" s="105"/>
      <c r="E13" s="8"/>
      <c r="F13" s="8"/>
      <c r="G13" s="8"/>
      <c r="H13" s="8"/>
      <c r="I13" s="8"/>
      <c r="J13" s="36"/>
      <c r="K13" s="36"/>
    </row>
    <row r="14" spans="1:27" ht="12" customHeight="1" x14ac:dyDescent="0.3">
      <c r="B14" s="39" t="s">
        <v>52</v>
      </c>
      <c r="C14" s="119"/>
      <c r="D14" s="57"/>
      <c r="E14" s="36"/>
      <c r="F14" s="36"/>
      <c r="G14" s="36"/>
      <c r="H14" s="36"/>
      <c r="I14" s="36"/>
      <c r="J14" s="36"/>
      <c r="K14" s="36"/>
    </row>
    <row r="15" spans="1:27" ht="12" customHeight="1" x14ac:dyDescent="0.3">
      <c r="B15" s="39" t="s">
        <v>640</v>
      </c>
      <c r="C15" s="119"/>
      <c r="D15" s="470" t="str">
        <f>IF(ISERROR(VLOOKUP(VES_VDE_SHIPTYPE, REF_SHIP_TYPE_TABLE[], 2,FALSE)),"Select ship type from cell above...",VLOOKUP(VES_VDE_SHIPTYPE, REF_SHIP_TYPE_TABLE[], 2,FALSE))</f>
        <v>Select ship type from cell above...</v>
      </c>
      <c r="E15" s="36"/>
      <c r="F15" s="36"/>
      <c r="G15" s="36"/>
      <c r="H15" s="36"/>
      <c r="I15" s="36"/>
      <c r="J15" s="36"/>
      <c r="K15" s="36"/>
    </row>
    <row r="16" spans="1:27" ht="15" customHeight="1" x14ac:dyDescent="0.3">
      <c r="B16" s="39" t="s">
        <v>1377</v>
      </c>
      <c r="C16" s="119"/>
      <c r="D16" s="517"/>
      <c r="E16" s="36"/>
      <c r="F16" s="36"/>
      <c r="G16" s="358"/>
      <c r="H16" s="36"/>
      <c r="I16" s="36"/>
      <c r="J16" s="36"/>
      <c r="K16" s="36"/>
    </row>
    <row r="17" spans="2:11" ht="12" customHeight="1" x14ac:dyDescent="0.3">
      <c r="B17" s="39" t="s">
        <v>1378</v>
      </c>
      <c r="C17" s="119"/>
      <c r="D17" s="517"/>
      <c r="E17" s="36"/>
      <c r="F17" s="36"/>
      <c r="G17" s="36"/>
      <c r="H17" s="36"/>
      <c r="I17" s="36"/>
      <c r="J17" s="36"/>
      <c r="K17" s="36"/>
    </row>
    <row r="18" spans="2:11" ht="12" customHeight="1" thickBot="1" x14ac:dyDescent="0.35">
      <c r="B18" s="41" t="s">
        <v>1384</v>
      </c>
      <c r="C18" s="250"/>
      <c r="D18" s="529"/>
      <c r="E18" s="36"/>
      <c r="F18" s="36"/>
      <c r="G18" s="36"/>
      <c r="H18" s="36"/>
      <c r="I18" s="36"/>
      <c r="J18" s="36"/>
      <c r="K18" s="36"/>
    </row>
    <row r="19" spans="2:11" ht="6.75" customHeight="1" thickTop="1" thickBot="1" x14ac:dyDescent="0.35">
      <c r="B19" s="11"/>
      <c r="C19" s="11"/>
      <c r="E19" s="36"/>
      <c r="F19" s="36"/>
      <c r="G19" s="36"/>
      <c r="H19" s="36"/>
      <c r="I19" s="36"/>
      <c r="J19" s="36"/>
      <c r="K19" s="36"/>
    </row>
    <row r="20" spans="2:11" ht="20.25" customHeight="1" thickTop="1" x14ac:dyDescent="0.25">
      <c r="B20" s="575" t="s">
        <v>1442</v>
      </c>
      <c r="C20" s="576"/>
      <c r="D20" s="577"/>
      <c r="E20" s="36"/>
      <c r="F20" s="36"/>
      <c r="G20" s="36"/>
      <c r="H20" s="36"/>
      <c r="I20" s="36"/>
      <c r="J20" s="36"/>
      <c r="K20" s="36"/>
    </row>
    <row r="21" spans="2:11" ht="12" customHeight="1" x14ac:dyDescent="0.3">
      <c r="B21" s="40" t="s">
        <v>53</v>
      </c>
      <c r="C21" s="244"/>
      <c r="D21" s="370"/>
      <c r="E21" s="36"/>
      <c r="F21" s="36"/>
      <c r="G21" s="36"/>
      <c r="H21" s="36"/>
      <c r="I21" s="36"/>
      <c r="J21" s="36"/>
      <c r="K21" s="36"/>
    </row>
    <row r="22" spans="2:11" ht="12" customHeight="1" x14ac:dyDescent="0.3">
      <c r="B22" s="39" t="s">
        <v>54</v>
      </c>
      <c r="C22" s="119"/>
      <c r="D22" s="57"/>
      <c r="E22" s="36"/>
      <c r="F22" s="36"/>
      <c r="G22" s="36"/>
      <c r="H22" s="36"/>
      <c r="I22" s="36"/>
      <c r="J22" s="36"/>
      <c r="K22" s="36"/>
    </row>
    <row r="23" spans="2:11" ht="12" customHeight="1" x14ac:dyDescent="0.3">
      <c r="B23" s="39" t="s">
        <v>12</v>
      </c>
      <c r="C23" s="119"/>
      <c r="D23" s="57"/>
      <c r="E23" s="36"/>
      <c r="F23" s="35"/>
      <c r="G23" s="35"/>
      <c r="H23" s="35"/>
      <c r="I23" s="36"/>
      <c r="J23" s="36"/>
      <c r="K23" s="36"/>
    </row>
    <row r="24" spans="2:11" ht="12" customHeight="1" thickBot="1" x14ac:dyDescent="0.35">
      <c r="B24" s="41" t="s">
        <v>1383</v>
      </c>
      <c r="C24" s="250"/>
      <c r="D24" s="59"/>
      <c r="E24" s="36"/>
      <c r="F24" s="35"/>
      <c r="G24" s="35"/>
      <c r="H24" s="35"/>
      <c r="I24" s="36"/>
      <c r="J24" s="36"/>
      <c r="K24" s="36"/>
    </row>
    <row r="25" spans="2:11" ht="6.75" customHeight="1" thickTop="1" thickBot="1" x14ac:dyDescent="0.35">
      <c r="B25" s="11"/>
      <c r="C25" s="11"/>
      <c r="E25" s="36"/>
      <c r="F25" s="35"/>
      <c r="G25" s="35"/>
      <c r="H25" s="35"/>
      <c r="I25" s="36"/>
      <c r="J25" s="36"/>
      <c r="K25" s="36"/>
    </row>
    <row r="26" spans="2:11" ht="20.25" customHeight="1" thickTop="1" x14ac:dyDescent="0.25">
      <c r="B26" s="575" t="s">
        <v>631</v>
      </c>
      <c r="C26" s="576"/>
      <c r="D26" s="577"/>
      <c r="E26" s="36"/>
      <c r="F26" s="35"/>
      <c r="G26" s="35"/>
      <c r="H26" s="35"/>
      <c r="I26" s="36"/>
      <c r="J26" s="36"/>
      <c r="K26" s="36"/>
    </row>
    <row r="27" spans="2:11" ht="12" customHeight="1" x14ac:dyDescent="0.3">
      <c r="B27" s="40" t="s">
        <v>633</v>
      </c>
      <c r="C27" s="244"/>
      <c r="D27" s="60"/>
      <c r="F27" s="580"/>
      <c r="G27" s="580"/>
      <c r="H27" s="580"/>
      <c r="I27" s="36"/>
      <c r="J27" s="36"/>
      <c r="K27" s="36"/>
    </row>
    <row r="28" spans="2:11" ht="12" customHeight="1" x14ac:dyDescent="0.3">
      <c r="B28" s="39" t="s">
        <v>634</v>
      </c>
      <c r="C28" s="119"/>
      <c r="D28" s="57"/>
      <c r="F28" s="580"/>
      <c r="G28" s="580"/>
      <c r="H28" s="580"/>
      <c r="I28" s="36"/>
      <c r="J28" s="36"/>
      <c r="K28" s="36"/>
    </row>
    <row r="29" spans="2:11" ht="12" customHeight="1" x14ac:dyDescent="0.3">
      <c r="B29" s="39" t="s">
        <v>635</v>
      </c>
      <c r="C29" s="119"/>
      <c r="D29" s="57"/>
      <c r="F29" s="580"/>
      <c r="G29" s="580"/>
      <c r="H29" s="580"/>
      <c r="I29" s="36"/>
      <c r="J29" s="36"/>
      <c r="K29" s="36"/>
    </row>
    <row r="30" spans="2:11" ht="12" customHeight="1" x14ac:dyDescent="0.3">
      <c r="B30" s="39" t="s">
        <v>636</v>
      </c>
      <c r="C30" s="119"/>
      <c r="D30" s="57"/>
      <c r="F30" s="580"/>
      <c r="G30" s="580"/>
      <c r="H30" s="580"/>
      <c r="I30" s="36"/>
      <c r="J30" s="36"/>
      <c r="K30" s="36"/>
    </row>
    <row r="31" spans="2:11" ht="12" customHeight="1" thickBot="1" x14ac:dyDescent="0.35">
      <c r="B31" s="41" t="s">
        <v>637</v>
      </c>
      <c r="C31" s="250"/>
      <c r="D31" s="59"/>
      <c r="F31" s="580"/>
      <c r="G31" s="580"/>
      <c r="H31" s="580"/>
      <c r="I31" s="36"/>
      <c r="J31" s="36"/>
      <c r="K31" s="36"/>
    </row>
    <row r="32" spans="2:11" ht="12" customHeight="1" thickTop="1" x14ac:dyDescent="0.25">
      <c r="B32" s="578" t="s">
        <v>1393</v>
      </c>
      <c r="C32" s="578"/>
      <c r="D32" s="578"/>
      <c r="F32" s="1"/>
      <c r="G32" s="1"/>
      <c r="H32" s="1"/>
      <c r="I32" s="36"/>
      <c r="J32" s="36"/>
      <c r="K32" s="36"/>
    </row>
    <row r="33" spans="1:27" ht="12" customHeight="1" x14ac:dyDescent="0.25">
      <c r="B33" s="579"/>
      <c r="C33" s="579"/>
      <c r="D33" s="579"/>
      <c r="F33" s="1"/>
      <c r="G33" s="1"/>
      <c r="H33" s="1"/>
      <c r="I33" s="36"/>
      <c r="J33" s="36"/>
      <c r="K33" s="36"/>
    </row>
    <row r="34" spans="1:27" ht="6" customHeight="1" x14ac:dyDescent="0.3">
      <c r="B34" s="11"/>
      <c r="C34" s="11"/>
      <c r="F34" s="1"/>
      <c r="G34" s="1"/>
      <c r="H34" s="1"/>
      <c r="I34" s="36"/>
      <c r="J34" s="36"/>
      <c r="K34" s="36"/>
    </row>
    <row r="35" spans="1:27" ht="17.25" hidden="1" customHeight="1" x14ac:dyDescent="0.3">
      <c r="B35" s="11" t="s">
        <v>1911</v>
      </c>
      <c r="C35" s="369" t="s">
        <v>2042</v>
      </c>
      <c r="F35" s="1"/>
      <c r="G35" s="1"/>
      <c r="H35" s="1"/>
      <c r="I35" s="36"/>
      <c r="J35" s="36"/>
      <c r="K35" s="36"/>
    </row>
    <row r="36" spans="1:27" ht="12" customHeight="1" x14ac:dyDescent="0.3">
      <c r="B36" s="11"/>
      <c r="C36" s="11"/>
      <c r="F36" s="1"/>
      <c r="G36" s="1"/>
      <c r="H36" s="1"/>
      <c r="I36" s="36"/>
      <c r="J36" s="36"/>
      <c r="K36" s="36"/>
    </row>
    <row r="37" spans="1:27" ht="12" customHeight="1" x14ac:dyDescent="0.3">
      <c r="B37" s="11"/>
      <c r="C37" s="11"/>
      <c r="F37" s="1"/>
      <c r="G37" s="1"/>
      <c r="H37" s="1"/>
      <c r="I37" s="36"/>
      <c r="J37" s="36"/>
      <c r="K37" s="36"/>
    </row>
    <row r="38" spans="1:27" ht="12" customHeight="1" x14ac:dyDescent="0.3">
      <c r="B38" s="11"/>
      <c r="C38" s="11"/>
      <c r="F38" s="1"/>
      <c r="G38" s="1"/>
      <c r="H38" s="1"/>
      <c r="I38" s="36"/>
      <c r="J38" s="36"/>
      <c r="K38" s="36"/>
    </row>
    <row r="39" spans="1:27" ht="12" customHeight="1" x14ac:dyDescent="0.3">
      <c r="B39" s="11"/>
      <c r="C39" s="11"/>
      <c r="F39" s="1"/>
      <c r="G39" s="1"/>
      <c r="H39" s="1"/>
      <c r="I39" s="36"/>
      <c r="J39" s="36"/>
      <c r="K39" s="36"/>
    </row>
    <row r="40" spans="1:27" x14ac:dyDescent="0.3">
      <c r="B40" s="11"/>
      <c r="C40" s="11"/>
      <c r="F40" s="3"/>
      <c r="I40" s="36"/>
      <c r="J40" s="36"/>
      <c r="K40" s="36"/>
    </row>
    <row r="41" spans="1:27" ht="12.75" customHeight="1" x14ac:dyDescent="0.3">
      <c r="B41" s="11"/>
      <c r="C41" s="11"/>
      <c r="F41" s="3"/>
      <c r="I41" s="36"/>
      <c r="J41" s="36"/>
      <c r="K41" s="36"/>
    </row>
    <row r="42" spans="1:27" s="3" customFormat="1" x14ac:dyDescent="0.3">
      <c r="A42" s="36"/>
      <c r="B42" s="11"/>
      <c r="C42" s="11"/>
      <c r="I42" s="36"/>
      <c r="J42" s="36"/>
      <c r="K42" s="36"/>
      <c r="L42" s="36"/>
      <c r="M42" s="36"/>
      <c r="N42" s="36"/>
      <c r="O42" s="36"/>
      <c r="P42" s="36"/>
      <c r="Q42" s="36"/>
      <c r="R42" s="36"/>
      <c r="S42" s="36"/>
      <c r="T42" s="36"/>
      <c r="U42" s="36"/>
      <c r="V42" s="36"/>
      <c r="W42" s="36"/>
      <c r="X42" s="36"/>
      <c r="Y42" s="36"/>
      <c r="Z42" s="36"/>
      <c r="AA42" s="36"/>
    </row>
    <row r="43" spans="1:27" s="3" customFormat="1" x14ac:dyDescent="0.3">
      <c r="A43" s="36"/>
      <c r="B43" s="11"/>
      <c r="C43" s="11"/>
      <c r="I43" s="36"/>
      <c r="J43" s="36"/>
      <c r="K43" s="36"/>
      <c r="L43" s="36"/>
      <c r="M43" s="36"/>
      <c r="N43" s="36"/>
      <c r="O43" s="36"/>
      <c r="P43" s="36"/>
      <c r="Q43" s="36"/>
      <c r="R43" s="36"/>
      <c r="S43" s="36"/>
      <c r="T43" s="36"/>
      <c r="U43" s="36"/>
      <c r="V43" s="36"/>
      <c r="W43" s="36"/>
      <c r="X43" s="36"/>
      <c r="Y43" s="36"/>
      <c r="Z43" s="36"/>
      <c r="AA43" s="36"/>
    </row>
    <row r="44" spans="1:27" s="3" customFormat="1" x14ac:dyDescent="0.3">
      <c r="A44" s="36"/>
      <c r="B44" s="11"/>
      <c r="C44" s="11"/>
      <c r="I44" s="36"/>
      <c r="J44" s="36"/>
      <c r="K44" s="36"/>
      <c r="L44" s="36"/>
      <c r="M44" s="36"/>
      <c r="N44" s="36"/>
      <c r="O44" s="36"/>
      <c r="P44" s="36"/>
      <c r="Q44" s="36"/>
      <c r="R44" s="36"/>
      <c r="S44" s="36"/>
      <c r="T44" s="36"/>
      <c r="U44" s="36"/>
      <c r="V44" s="36"/>
      <c r="W44" s="36"/>
      <c r="X44" s="36"/>
      <c r="Y44" s="36"/>
      <c r="Z44" s="36"/>
      <c r="AA44" s="36"/>
    </row>
    <row r="45" spans="1:27" s="3" customFormat="1" x14ac:dyDescent="0.3">
      <c r="A45" s="36"/>
      <c r="B45" s="11"/>
      <c r="C45" s="11"/>
      <c r="I45" s="36"/>
      <c r="J45" s="36"/>
      <c r="K45" s="36"/>
      <c r="L45" s="36"/>
      <c r="M45" s="36"/>
      <c r="N45" s="36"/>
      <c r="O45" s="36"/>
      <c r="P45" s="36"/>
      <c r="Q45" s="36"/>
      <c r="R45" s="36"/>
      <c r="S45" s="36"/>
      <c r="T45" s="36"/>
      <c r="U45" s="36"/>
      <c r="V45" s="36"/>
      <c r="W45" s="36"/>
      <c r="X45" s="36"/>
      <c r="Y45" s="36"/>
      <c r="Z45" s="36"/>
      <c r="AA45" s="36"/>
    </row>
    <row r="46" spans="1:27" s="3" customFormat="1" x14ac:dyDescent="0.3">
      <c r="A46" s="36"/>
      <c r="B46" s="11"/>
      <c r="C46" s="11"/>
      <c r="I46" s="36"/>
      <c r="J46" s="36"/>
      <c r="K46" s="36"/>
      <c r="L46" s="36"/>
      <c r="M46" s="36"/>
      <c r="N46" s="36"/>
      <c r="O46" s="36"/>
      <c r="P46" s="36"/>
      <c r="Q46" s="36"/>
      <c r="R46" s="36"/>
      <c r="S46" s="36"/>
      <c r="T46" s="36"/>
      <c r="U46" s="36"/>
      <c r="V46" s="36"/>
      <c r="W46" s="36"/>
      <c r="X46" s="36"/>
      <c r="Y46" s="36"/>
      <c r="Z46" s="36"/>
      <c r="AA46" s="36"/>
    </row>
    <row r="47" spans="1:27" s="3" customFormat="1" x14ac:dyDescent="0.3">
      <c r="A47" s="36"/>
      <c r="B47" s="11"/>
      <c r="C47" s="11"/>
      <c r="I47" s="36"/>
      <c r="J47" s="36"/>
      <c r="K47" s="36"/>
      <c r="L47" s="36"/>
      <c r="M47" s="36"/>
      <c r="N47" s="36"/>
      <c r="O47" s="36"/>
      <c r="P47" s="36"/>
      <c r="Q47" s="36"/>
      <c r="R47" s="36"/>
      <c r="S47" s="36"/>
      <c r="T47" s="36"/>
      <c r="U47" s="36"/>
      <c r="V47" s="36"/>
      <c r="W47" s="36"/>
      <c r="X47" s="36"/>
      <c r="Y47" s="36"/>
      <c r="Z47" s="36"/>
      <c r="AA47" s="36"/>
    </row>
    <row r="48" spans="1:27" s="3" customFormat="1" x14ac:dyDescent="0.3">
      <c r="A48" s="36"/>
      <c r="B48" s="11"/>
      <c r="C48" s="11"/>
      <c r="I48" s="36"/>
      <c r="J48" s="36"/>
      <c r="K48" s="36"/>
      <c r="L48" s="36"/>
      <c r="M48" s="36"/>
      <c r="N48" s="36"/>
      <c r="O48" s="36"/>
      <c r="P48" s="36"/>
      <c r="Q48" s="36"/>
      <c r="R48" s="36"/>
      <c r="S48" s="36"/>
      <c r="T48" s="36"/>
      <c r="U48" s="36"/>
      <c r="V48" s="36"/>
      <c r="W48" s="36"/>
      <c r="X48" s="36"/>
      <c r="Y48" s="36"/>
      <c r="Z48" s="36"/>
      <c r="AA48" s="36"/>
    </row>
    <row r="49" spans="1:27" s="3" customFormat="1" x14ac:dyDescent="0.3">
      <c r="A49" s="36"/>
      <c r="B49" s="11"/>
      <c r="C49" s="11"/>
      <c r="I49" s="36"/>
      <c r="J49" s="36"/>
      <c r="K49" s="36"/>
      <c r="L49" s="36"/>
      <c r="M49" s="36"/>
      <c r="N49" s="36"/>
      <c r="O49" s="36"/>
      <c r="P49" s="36"/>
      <c r="Q49" s="36"/>
      <c r="R49" s="36"/>
      <c r="S49" s="36"/>
      <c r="T49" s="36"/>
      <c r="U49" s="36"/>
      <c r="V49" s="36"/>
      <c r="W49" s="36"/>
      <c r="X49" s="36"/>
      <c r="Y49" s="36"/>
      <c r="Z49" s="36"/>
      <c r="AA49" s="36"/>
    </row>
    <row r="50" spans="1:27" s="3" customFormat="1" x14ac:dyDescent="0.3">
      <c r="A50" s="36"/>
      <c r="B50" s="11"/>
      <c r="C50" s="11"/>
      <c r="I50" s="36"/>
      <c r="J50" s="36"/>
      <c r="K50" s="36"/>
      <c r="L50" s="36"/>
      <c r="M50" s="36"/>
      <c r="N50" s="36"/>
      <c r="O50" s="36"/>
      <c r="P50" s="36"/>
      <c r="Q50" s="36"/>
      <c r="R50" s="36"/>
      <c r="S50" s="36"/>
      <c r="T50" s="36"/>
      <c r="U50" s="36"/>
      <c r="V50" s="36"/>
      <c r="W50" s="36"/>
      <c r="X50" s="36"/>
      <c r="Y50" s="36"/>
      <c r="Z50" s="36"/>
      <c r="AA50" s="36"/>
    </row>
    <row r="51" spans="1:27" s="3" customFormat="1" x14ac:dyDescent="0.3">
      <c r="A51" s="36"/>
      <c r="B51" s="11"/>
      <c r="C51" s="11"/>
      <c r="I51" s="36"/>
      <c r="J51" s="36"/>
      <c r="K51" s="36"/>
      <c r="L51" s="36"/>
      <c r="M51" s="36"/>
      <c r="N51" s="36"/>
      <c r="O51" s="36"/>
      <c r="P51" s="36"/>
      <c r="Q51" s="36"/>
      <c r="R51" s="36"/>
      <c r="S51" s="36"/>
      <c r="T51" s="36"/>
      <c r="U51" s="36"/>
      <c r="V51" s="36"/>
      <c r="W51" s="36"/>
      <c r="X51" s="36"/>
      <c r="Y51" s="36"/>
      <c r="Z51" s="36"/>
      <c r="AA51" s="36"/>
    </row>
    <row r="52" spans="1:27" s="3" customFormat="1" x14ac:dyDescent="0.3">
      <c r="A52" s="36"/>
      <c r="B52" s="11"/>
      <c r="C52" s="11"/>
      <c r="I52" s="36"/>
      <c r="J52" s="36"/>
      <c r="K52" s="36"/>
      <c r="L52" s="36"/>
      <c r="M52" s="36"/>
      <c r="N52" s="36"/>
      <c r="O52" s="36"/>
      <c r="P52" s="36"/>
      <c r="Q52" s="36"/>
      <c r="R52" s="36"/>
      <c r="S52" s="36"/>
      <c r="T52" s="36"/>
      <c r="U52" s="36"/>
      <c r="V52" s="36"/>
      <c r="W52" s="36"/>
      <c r="X52" s="36"/>
      <c r="Y52" s="36"/>
      <c r="Z52" s="36"/>
      <c r="AA52" s="36"/>
    </row>
    <row r="53" spans="1:27" s="3" customFormat="1" ht="14.25" customHeight="1" x14ac:dyDescent="0.3">
      <c r="A53" s="36"/>
      <c r="B53" s="11"/>
      <c r="C53" s="11"/>
      <c r="I53" s="36"/>
      <c r="J53" s="36"/>
      <c r="K53" s="36"/>
      <c r="L53" s="36"/>
      <c r="M53" s="36"/>
      <c r="N53" s="36"/>
      <c r="O53" s="36"/>
      <c r="P53" s="36"/>
      <c r="Q53" s="36"/>
      <c r="R53" s="36"/>
      <c r="S53" s="36"/>
      <c r="T53" s="36"/>
      <c r="U53" s="36"/>
      <c r="V53" s="36"/>
      <c r="W53" s="36"/>
      <c r="X53" s="36"/>
      <c r="Y53" s="36"/>
      <c r="Z53" s="36"/>
      <c r="AA53" s="36"/>
    </row>
    <row r="54" spans="1:27" s="3" customFormat="1" ht="13.5" customHeight="1" x14ac:dyDescent="0.3">
      <c r="A54" s="36"/>
      <c r="B54" s="11"/>
      <c r="C54" s="11"/>
      <c r="I54" s="36"/>
      <c r="J54" s="36"/>
      <c r="K54" s="36"/>
      <c r="L54" s="36"/>
      <c r="M54" s="36"/>
      <c r="N54" s="36"/>
      <c r="O54" s="36"/>
      <c r="P54" s="36"/>
      <c r="Q54" s="36"/>
      <c r="R54" s="36"/>
      <c r="S54" s="36"/>
      <c r="T54" s="36"/>
      <c r="U54" s="36"/>
      <c r="V54" s="36"/>
      <c r="W54" s="36"/>
      <c r="X54" s="36"/>
      <c r="Y54" s="36"/>
      <c r="Z54" s="36"/>
      <c r="AA54" s="36"/>
    </row>
    <row r="55" spans="1:27" s="3" customFormat="1" x14ac:dyDescent="0.3">
      <c r="A55" s="36"/>
      <c r="B55" s="11"/>
      <c r="C55" s="11"/>
      <c r="I55" s="36"/>
      <c r="J55" s="36"/>
      <c r="K55" s="36"/>
      <c r="L55" s="36"/>
      <c r="M55" s="36"/>
      <c r="N55" s="36"/>
      <c r="O55" s="36"/>
      <c r="P55" s="36"/>
      <c r="Q55" s="36"/>
      <c r="R55" s="36"/>
      <c r="S55" s="36"/>
      <c r="T55" s="36"/>
      <c r="U55" s="36"/>
      <c r="V55" s="36"/>
      <c r="W55" s="36"/>
      <c r="X55" s="36"/>
      <c r="Y55" s="36"/>
      <c r="Z55" s="36"/>
      <c r="AA55" s="36"/>
    </row>
    <row r="56" spans="1:27" s="3" customFormat="1" x14ac:dyDescent="0.3">
      <c r="A56" s="36"/>
      <c r="B56" s="11"/>
      <c r="C56" s="11"/>
      <c r="I56" s="36"/>
      <c r="J56" s="36"/>
      <c r="K56" s="36"/>
      <c r="L56" s="36"/>
      <c r="M56" s="36"/>
      <c r="N56" s="36"/>
      <c r="O56" s="36"/>
      <c r="P56" s="36"/>
      <c r="Q56" s="36"/>
      <c r="R56" s="36"/>
      <c r="S56" s="36"/>
      <c r="T56" s="36"/>
      <c r="U56" s="36"/>
      <c r="V56" s="36"/>
      <c r="W56" s="36"/>
      <c r="X56" s="36"/>
      <c r="Y56" s="36"/>
      <c r="Z56" s="36"/>
      <c r="AA56" s="36"/>
    </row>
    <row r="57" spans="1:27" s="3" customFormat="1" x14ac:dyDescent="0.3">
      <c r="A57" s="36"/>
      <c r="B57" s="11"/>
      <c r="C57" s="11"/>
      <c r="I57" s="36"/>
      <c r="J57" s="36"/>
      <c r="K57" s="36"/>
      <c r="L57" s="36"/>
      <c r="M57" s="36"/>
      <c r="N57" s="36"/>
      <c r="O57" s="36"/>
      <c r="P57" s="36"/>
      <c r="Q57" s="36"/>
      <c r="R57" s="36"/>
      <c r="S57" s="36"/>
      <c r="T57" s="36"/>
      <c r="U57" s="36"/>
      <c r="V57" s="36"/>
      <c r="W57" s="36"/>
      <c r="X57" s="36"/>
      <c r="Y57" s="36"/>
      <c r="Z57" s="36"/>
      <c r="AA57" s="36"/>
    </row>
    <row r="58" spans="1:27" s="3" customFormat="1" x14ac:dyDescent="0.3">
      <c r="A58" s="36"/>
      <c r="B58" s="11"/>
      <c r="C58" s="11"/>
      <c r="I58" s="36"/>
      <c r="J58" s="36"/>
      <c r="K58" s="36"/>
      <c r="L58" s="36"/>
      <c r="M58" s="36"/>
      <c r="N58" s="36"/>
      <c r="O58" s="36"/>
      <c r="P58" s="36"/>
      <c r="Q58" s="36"/>
      <c r="R58" s="36"/>
      <c r="S58" s="36"/>
      <c r="T58" s="36"/>
      <c r="U58" s="36"/>
      <c r="V58" s="36"/>
      <c r="W58" s="36"/>
      <c r="X58" s="36"/>
      <c r="Y58" s="36"/>
      <c r="Z58" s="36"/>
      <c r="AA58" s="36"/>
    </row>
    <row r="59" spans="1:27" s="3" customFormat="1" x14ac:dyDescent="0.3">
      <c r="A59" s="36"/>
      <c r="B59" s="11"/>
      <c r="C59" s="11"/>
      <c r="I59" s="36"/>
      <c r="J59" s="36"/>
      <c r="K59" s="36"/>
      <c r="L59" s="36"/>
      <c r="M59" s="36"/>
      <c r="N59" s="36"/>
      <c r="O59" s="36"/>
      <c r="P59" s="36"/>
      <c r="Q59" s="36"/>
      <c r="R59" s="36"/>
      <c r="S59" s="36"/>
      <c r="T59" s="36"/>
      <c r="U59" s="36"/>
      <c r="V59" s="36"/>
      <c r="W59" s="36"/>
      <c r="X59" s="36"/>
      <c r="Y59" s="36"/>
      <c r="Z59" s="36"/>
      <c r="AA59" s="36"/>
    </row>
    <row r="60" spans="1:27" s="3" customFormat="1" ht="12.75" customHeight="1" x14ac:dyDescent="0.3">
      <c r="A60" s="36"/>
      <c r="B60" s="11"/>
      <c r="C60" s="11"/>
      <c r="I60" s="36"/>
      <c r="J60" s="36"/>
      <c r="K60" s="36"/>
      <c r="L60" s="36"/>
      <c r="M60" s="36"/>
      <c r="N60" s="36"/>
      <c r="O60" s="36"/>
      <c r="P60" s="36"/>
      <c r="Q60" s="36"/>
      <c r="R60" s="36"/>
      <c r="S60" s="36"/>
      <c r="T60" s="36"/>
      <c r="U60" s="36"/>
      <c r="V60" s="36"/>
      <c r="W60" s="36"/>
      <c r="X60" s="36"/>
      <c r="Y60" s="36"/>
      <c r="Z60" s="36"/>
      <c r="AA60" s="36"/>
    </row>
    <row r="61" spans="1:27" s="3" customFormat="1" x14ac:dyDescent="0.3">
      <c r="A61" s="36"/>
      <c r="B61" s="11"/>
      <c r="C61" s="11"/>
      <c r="I61" s="36"/>
      <c r="J61" s="36"/>
      <c r="K61" s="36"/>
      <c r="L61" s="36"/>
      <c r="M61" s="36"/>
      <c r="N61" s="36"/>
      <c r="O61" s="36"/>
      <c r="P61" s="36"/>
      <c r="Q61" s="36"/>
      <c r="R61" s="36"/>
      <c r="S61" s="36"/>
      <c r="T61" s="36"/>
      <c r="U61" s="36"/>
      <c r="V61" s="36"/>
      <c r="W61" s="36"/>
      <c r="X61" s="36"/>
      <c r="Y61" s="36"/>
      <c r="Z61" s="36"/>
      <c r="AA61" s="36"/>
    </row>
    <row r="62" spans="1:27" x14ac:dyDescent="0.3">
      <c r="B62" s="11"/>
      <c r="C62" s="11"/>
      <c r="F62" s="3"/>
      <c r="I62" s="36"/>
      <c r="J62" s="36"/>
      <c r="K62" s="36"/>
    </row>
  </sheetData>
  <sheetProtection password="A656" sheet="1" formatCells="0" formatColumns="0" formatRows="0" selectLockedCells="1"/>
  <dataConsolidate link="1"/>
  <mergeCells count="10">
    <mergeCell ref="B5:D5"/>
    <mergeCell ref="B26:D26"/>
    <mergeCell ref="B32:D33"/>
    <mergeCell ref="F27:H31"/>
    <mergeCell ref="B20:D20"/>
    <mergeCell ref="B12:D12"/>
    <mergeCell ref="B6:B9"/>
    <mergeCell ref="F5:I5"/>
    <mergeCell ref="F8:I8"/>
    <mergeCell ref="F6:I7"/>
  </mergeCells>
  <conditionalFormatting sqref="G2">
    <cfRule type="expression" dxfId="115" priority="1">
      <formula>VES_STATUS="Empty"</formula>
    </cfRule>
    <cfRule type="expression" dxfId="114" priority="2">
      <formula>VES_STATUS="Invalid"</formula>
    </cfRule>
    <cfRule type="expression" dxfId="113" priority="3">
      <formula>VES_STATUS="Valid"</formula>
    </cfRule>
  </conditionalFormatting>
  <dataValidations xWindow="599" yWindow="440" count="14">
    <dataValidation type="textLength" operator="equal" allowBlank="1" showInputMessage="1" showErrorMessage="1" error="Must be 7 characters." promptTitle="Company IMO number" prompt="The IMO number of the operating company _x000a__x000a_Must be 7 characters" sqref="D24" xr:uid="{00000000-0002-0000-0100-000000000000}">
      <formula1>7</formula1>
    </dataValidation>
    <dataValidation type="textLength" operator="equal" showDropDown="1" showInputMessage="1" showErrorMessage="1" errorTitle="Error" error="Invalid LOCODE: must be 5 characters of letters and numbers with no spaces." promptTitle="LOCODE" prompt="Must be 5 characters." sqref="D18" xr:uid="{00000000-0002-0000-0100-000001000000}">
      <formula1>5</formula1>
    </dataValidation>
    <dataValidation type="whole" allowBlank="1" showInputMessage="1" showErrorMessage="1" error="Must be a 9 digit number" promptTitle="MMSI Number" prompt="MMSI number of the vessel_x000a__x000a_Must be a 9 digit number" sqref="D9" xr:uid="{00000000-0002-0000-0100-000002000000}">
      <formula1>100000000</formula1>
      <formula2>999999999</formula2>
    </dataValidation>
    <dataValidation type="custom" showInputMessage="1" showErrorMessage="1" error="The IMO number must be in a valid IMO format. Please check the IMO number is correct and try again." promptTitle="IMO number" prompt="IMO number of the vessel_x000a__x000a_Valid 7 digit number in correct IMO format" sqref="D6" xr:uid="{00000000-0002-0000-0100-000003000000}">
      <formula1>IF(ISBLANK(D6), TRUE(),IFERROR(IF(AND(LEN(TRIM(D6))=7,EXACT(MOD(RIGHT(LEFT(D6,1),1)*7+RIGHT(LEFT(D6,2),1)*6+RIGHT(LEFT(D6,3),1)*5+RIGHT(LEFT(D6,4),1)*4+RIGHT(LEFT(D6,5),1)*3+RIGHT(LEFT(D6,6),1)*2,10),RIGHT(LEFT(D6,7)))),TRUE(),FALSE()),FALSE()))</formula1>
    </dataValidation>
    <dataValidation type="list" allowBlank="1" showInputMessage="1" showErrorMessage="1" error="Select from dropdown_x000a_" promptTitle="Flag state" prompt="Flag state of the vessel_x000a__x000a_Choose from dropdown menu" sqref="D10" xr:uid="{00000000-0002-0000-0100-000004000000}">
      <formula1>REF_COUNTRIES</formula1>
    </dataValidation>
    <dataValidation type="list" allowBlank="1" showInputMessage="1" showErrorMessage="1" error="Select from dropdown" promptTitle="Ship Type" prompt="The ship type_x000a__x000a_Choose from dropdown menu_x000a_" sqref="D14" xr:uid="{00000000-0002-0000-0100-000005000000}">
      <formula1>Ship_types</formula1>
    </dataValidation>
    <dataValidation type="whole" allowBlank="1" showInputMessage="1" showErrorMessage="1" error="Must be whole number, less than 1000000" promptTitle="Gross Tonnage" prompt="The measure of the overall size of a ship_x000a__x000a_Must be whole number, less than 1000000" sqref="D13" xr:uid="{00000000-0002-0000-0100-000006000000}">
      <formula1>1</formula1>
      <formula2>999999</formula2>
    </dataValidation>
    <dataValidation type="date" allowBlank="1" showInputMessage="1" showErrorMessage="1" error="Invalid date. Try inserting the date in the same format as your computer system's date format." promptTitle="Issue date" prompt="Date indicating when the certificate was issued_x000a__x000a_Should be in Excel date format_x000a_" sqref="D21" xr:uid="{00000000-0002-0000-0100-000007000000}">
      <formula1>1</formula1>
      <formula2>73051</formula2>
    </dataValidation>
    <dataValidation type="custom" allowBlank="1" showInputMessage="1" showErrorMessage="1" error="Max 35 characters. Accepted characters are uppercase (A-Z) and lowercase letters (a-z), numerals (0-9) and the special characters dots (&quot;.&quot;), dashes (&quot;-&quot;) and single apostrophe (&quot;'&quot;)." promptTitle="Ship name" prompt="Name of the vessel_x000a__x000a_Accepted characters are uppercase (A-Z) and lowercase letters (a-z), numerals (0-9) and the special characters dots (&quot;.&quot;), dashes (&quot;-&quot;) and single apostrophe (&quot;'&quot;)_x000a__x000a__x000a_Max 35 characters" sqref="D7" xr:uid="{00000000-0002-0000-0100-000008000000}">
      <formula1>AND(ISNUMBER(SUMPRODUCT(SEARCH(MID(VES_VID_SHIPNAME,ROW(INDIRECT("1:"&amp;LEN(VES_VID_SHIPNAME))),1),"0123456789abcdefghijklmnopqrstuvwxyz.- '"))),LEN(VES_VID_SHIPNAME)&lt;36)</formula1>
    </dataValidation>
    <dataValidation type="textLength" allowBlank="1" showInputMessage="1" showErrorMessage="1" error="Max. 7 characters" promptTitle="Call sign" prompt="Call sign of the vessel_x000a__x000a_Max 7 characters" sqref="D8" xr:uid="{00000000-0002-0000-0100-000009000000}">
      <formula1>0</formula1>
      <formula2>7</formula2>
    </dataValidation>
    <dataValidation type="textLength" allowBlank="1" showInputMessage="1" showErrorMessage="1" error="Max 35 characters." promptTitle="Certificate number" prompt="Number of the certification of registry_x000a__x000a_Max 35 characters" sqref="D22" xr:uid="{00000000-0002-0000-0100-00000A000000}">
      <formula1>1</formula1>
      <formula2>35</formula2>
    </dataValidation>
    <dataValidation type="textLength" allowBlank="1" showInputMessage="1" showErrorMessage="1" error="Max 70 characters." promptTitle="Company name" prompt="Name of ship's operating company, as defined in the ISM_x000a_code_x000a__x000a_Max 70 characters" sqref="D23" xr:uid="{00000000-0002-0000-0100-00000B000000}">
      <formula1>0</formula1>
      <formula2>70</formula2>
    </dataValidation>
    <dataValidation type="textLength" allowBlank="1" showInputMessage="1" showErrorMessage="1" error="Max 45 characters." promptTitle="Inmarsat call number" prompt="The Inmarsat call numbers of the vessel_x000a__x000a_Max 45 characters" sqref="D27:D31" xr:uid="{00000000-0002-0000-0100-00000C000000}">
      <formula1>1</formula1>
      <formula2>45</formula2>
    </dataValidation>
    <dataValidation allowBlank="1" showInputMessage="1" showErrorMessage="1" promptTitle="Inmarsat" prompt="Insert Inmarsat call number (maximum 5 rows)." sqref="B27:C31" xr:uid="{00000000-0002-0000-0100-00000D000000}"/>
  </dataValidations>
  <pageMargins left="0.23622047244094488" right="0.23622047244094488" top="0.39370078740157483" bottom="0.39370078740157483" header="0.31496062992125984" footer="0.31496062992125984"/>
  <pageSetup paperSize="9" fitToHeight="0" orientation="landscape" r:id="rId1"/>
  <drawing r:id="rId2"/>
  <legacyDrawing r:id="rId3"/>
  <controls>
    <mc:AlternateContent xmlns:mc="http://schemas.openxmlformats.org/markup-compatibility/2006">
      <mc:Choice Requires="x14">
        <control shapeId="38913" r:id="rId4" name="VOY_VOY_LASTPORT_DROPDOWN">
          <controlPr defaultSize="0" autoLine="0" autoPict="0" linkedCell="VOY_VOY_LASTPORT" listFillRange="REF_LOCODE_PORTNAME_COUNTRY" r:id="rId5">
            <anchor moveWithCells="1" sizeWithCells="1">
              <from>
                <xdr:col>1</xdr:col>
                <xdr:colOff>0</xdr:colOff>
                <xdr:row>11</xdr:row>
                <xdr:rowOff>0</xdr:rowOff>
              </from>
              <to>
                <xdr:col>1</xdr:col>
                <xdr:colOff>0</xdr:colOff>
                <xdr:row>11</xdr:row>
                <xdr:rowOff>0</xdr:rowOff>
              </to>
            </anchor>
          </controlPr>
        </control>
      </mc:Choice>
      <mc:Fallback>
        <control shapeId="38913" r:id="rId4" name="VOY_VOY_LASTPORT_DROPDOWN"/>
      </mc:Fallback>
    </mc:AlternateContent>
    <mc:AlternateContent xmlns:mc="http://schemas.openxmlformats.org/markup-compatibility/2006">
      <mc:Choice Requires="x14">
        <control shapeId="38914" r:id="rId6" name="ComboBox1">
          <controlPr defaultSize="0" autoLine="0" autoPict="0" linkedCell="VOY_VOY_NEXTPORT" listFillRange="REF_LOCODE_PORTNAME_COUNTRY" r:id="rId7">
            <anchor moveWithCells="1" sizeWithCells="1">
              <from>
                <xdr:col>1</xdr:col>
                <xdr:colOff>0</xdr:colOff>
                <xdr:row>13</xdr:row>
                <xdr:rowOff>12700</xdr:rowOff>
              </from>
              <to>
                <xdr:col>1</xdr:col>
                <xdr:colOff>0</xdr:colOff>
                <xdr:row>14</xdr:row>
                <xdr:rowOff>0</xdr:rowOff>
              </to>
            </anchor>
          </controlPr>
        </control>
      </mc:Choice>
      <mc:Fallback>
        <control shapeId="38914" r:id="rId6" name="ComboBox1"/>
      </mc:Fallback>
    </mc:AlternateContent>
    <mc:AlternateContent xmlns:mc="http://schemas.openxmlformats.org/markup-compatibility/2006">
      <mc:Choice Requires="x14">
        <control shapeId="38916" r:id="rId8" name="VOY_VOY_POC_DROPDOWN">
          <controlPr defaultSize="0" autoLine="0" autoPict="0" linkedCell="VOY_VOY_PORTOFCALL" listFillRange="REF_UK_LOCODES_PORTNAMES" r:id="rId9">
            <anchor moveWithCells="1" sizeWithCells="1">
              <from>
                <xdr:col>1</xdr:col>
                <xdr:colOff>0</xdr:colOff>
                <xdr:row>5</xdr:row>
                <xdr:rowOff>19050</xdr:rowOff>
              </from>
              <to>
                <xdr:col>1</xdr:col>
                <xdr:colOff>0</xdr:colOff>
                <xdr:row>6</xdr:row>
                <xdr:rowOff>19050</xdr:rowOff>
              </to>
            </anchor>
          </controlPr>
        </control>
      </mc:Choice>
      <mc:Fallback>
        <control shapeId="38916" r:id="rId8" name="VOY_VOY_POC_DROPDOWN"/>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F0"/>
    <pageSetUpPr fitToPage="1"/>
  </sheetPr>
  <dimension ref="A1:Y66"/>
  <sheetViews>
    <sheetView zoomScale="90" zoomScaleNormal="90" workbookViewId="0">
      <pane ySplit="3" topLeftCell="A4" activePane="bottomLeft" state="frozen"/>
      <selection pane="bottomLeft" activeCell="C21" sqref="C21:C25"/>
    </sheetView>
  </sheetViews>
  <sheetFormatPr defaultColWidth="9.1796875" defaultRowHeight="13" x14ac:dyDescent="0.3"/>
  <cols>
    <col min="1" max="1" width="2.453125" style="2" customWidth="1"/>
    <col min="2" max="2" width="38.81640625" style="3" customWidth="1"/>
    <col min="3" max="3" width="46.7265625" style="284" customWidth="1"/>
    <col min="4" max="4" width="1.26953125" style="3" customWidth="1"/>
    <col min="5" max="5" width="23.1796875" style="155" customWidth="1"/>
    <col min="6" max="6" width="16.453125" style="155" customWidth="1"/>
    <col min="7" max="7" width="16.453125" style="11" customWidth="1"/>
    <col min="8" max="8" width="4.1796875" style="3" customWidth="1"/>
    <col min="9" max="9" width="12.7265625" style="3" customWidth="1"/>
    <col min="10" max="10" width="24.26953125" style="3" customWidth="1"/>
    <col min="11" max="11" width="23.7265625" style="3" customWidth="1"/>
    <col min="12" max="13" width="9.1796875" style="36"/>
    <col min="14" max="16384" width="9.1796875" style="2"/>
  </cols>
  <sheetData>
    <row r="1" spans="1:25" s="34" customFormat="1" ht="4.5" customHeight="1" x14ac:dyDescent="0.25"/>
    <row r="2" spans="1:25" s="77" customFormat="1" ht="20" x14ac:dyDescent="0.25">
      <c r="A2" s="74"/>
      <c r="B2" s="75" t="s">
        <v>1443</v>
      </c>
      <c r="C2" s="283"/>
      <c r="D2" s="256" t="s">
        <v>1498</v>
      </c>
      <c r="E2" s="262" t="str">
        <f>VOY_STATUS</f>
        <v>Empty</v>
      </c>
      <c r="F2" s="258" t="str">
        <f>IFERROR(VOY_VALID_RES,"")</f>
        <v>‘Port of call’ required</v>
      </c>
      <c r="H2" s="256"/>
      <c r="I2" s="436"/>
      <c r="J2" s="261"/>
      <c r="K2" s="261"/>
      <c r="L2" s="261"/>
      <c r="M2" s="261"/>
      <c r="N2" s="261"/>
      <c r="O2" s="261"/>
      <c r="P2" s="261"/>
      <c r="Q2" s="261"/>
      <c r="R2" s="261"/>
      <c r="S2" s="261"/>
      <c r="T2" s="261"/>
      <c r="U2" s="261"/>
      <c r="V2" s="261"/>
      <c r="W2" s="261"/>
      <c r="X2" s="261"/>
      <c r="Y2" s="261"/>
    </row>
    <row r="3" spans="1:25" s="77" customFormat="1" ht="4.5" customHeight="1" x14ac:dyDescent="0.25">
      <c r="B3" s="254"/>
      <c r="C3" s="282"/>
      <c r="D3" s="254"/>
      <c r="E3" s="254"/>
      <c r="F3" s="254"/>
      <c r="G3" s="259"/>
      <c r="H3" s="259"/>
      <c r="I3" s="259"/>
      <c r="J3" s="259"/>
    </row>
    <row r="4" spans="1:25" s="243" customFormat="1" ht="12.75" customHeight="1" thickBot="1" x14ac:dyDescent="0.3">
      <c r="B4" s="164"/>
      <c r="C4" s="284"/>
      <c r="D4" s="164"/>
      <c r="E4" s="164"/>
      <c r="F4" s="164"/>
      <c r="G4" s="31"/>
      <c r="H4" s="31"/>
      <c r="I4" s="31"/>
      <c r="J4" s="31"/>
    </row>
    <row r="5" spans="1:25" ht="21" customHeight="1" thickTop="1" x14ac:dyDescent="0.35">
      <c r="B5" s="575" t="s">
        <v>1860</v>
      </c>
      <c r="C5" s="577"/>
      <c r="E5" s="233" t="s">
        <v>1507</v>
      </c>
      <c r="F5" s="192"/>
      <c r="G5" s="193"/>
      <c r="H5" s="33"/>
      <c r="I5" s="583" t="s">
        <v>2030</v>
      </c>
      <c r="J5" s="584"/>
      <c r="K5" s="585"/>
    </row>
    <row r="6" spans="1:25" ht="15" customHeight="1" x14ac:dyDescent="0.25">
      <c r="B6" s="272" t="s">
        <v>1364</v>
      </c>
      <c r="C6" s="65"/>
      <c r="D6" s="2"/>
      <c r="E6" s="593" t="str">
        <f>'Reference data'!AJ2</f>
        <v>Cargo operations</v>
      </c>
      <c r="F6" s="594"/>
      <c r="G6" s="177" t="s">
        <v>84</v>
      </c>
      <c r="I6" s="587" t="str">
        <f>IF(SUM_SRC_EMAIL&lt;&gt;"",SUM_SRC_EMAIL,"Please set voyage contact email on the summary tab")</f>
        <v>Please set voyage contact email on the summary tab</v>
      </c>
      <c r="J6" s="588"/>
      <c r="K6" s="589"/>
    </row>
    <row r="7" spans="1:25" s="36" customFormat="1" ht="13.5" customHeight="1" thickBot="1" x14ac:dyDescent="0.3">
      <c r="B7" s="64" t="s">
        <v>1361</v>
      </c>
      <c r="C7" s="67" t="str">
        <f>IF(ISERROR(VLOOKUP(VOY_VOY_PORTOFCALL,REF_UK_LOCODES_PORTNAMES, 2,FALSE)),"Select port of call from cell above…",VLOOKUP(VOY_VOY_PORTOFCALL,REF_UK_LOCODES_PORTNAMES, 2,FALSE))</f>
        <v>Select port of call from cell above…</v>
      </c>
      <c r="E7" s="593" t="str">
        <f>'Reference data'!AJ3</f>
        <v>Passenger movement</v>
      </c>
      <c r="F7" s="594"/>
      <c r="G7" s="178" t="s">
        <v>84</v>
      </c>
      <c r="I7" s="590"/>
      <c r="J7" s="591"/>
      <c r="K7" s="592"/>
    </row>
    <row r="8" spans="1:25" s="36" customFormat="1" ht="12" customHeight="1" thickTop="1" x14ac:dyDescent="0.3">
      <c r="B8" s="273" t="s">
        <v>1362</v>
      </c>
      <c r="C8" s="382" t="str">
        <f>IF(ISERROR(TMP_VOY_PORTOFCALL),"Select port of call from cell above…",TMP_VOY_PORTOFCALL)</f>
        <v>Select port of call from cell above…</v>
      </c>
      <c r="E8" s="593" t="str">
        <f>'Reference data'!AJ4</f>
        <v>Taking bunkers</v>
      </c>
      <c r="F8" s="594"/>
      <c r="G8" s="178" t="s">
        <v>84</v>
      </c>
      <c r="I8" s="586" t="s">
        <v>2031</v>
      </c>
      <c r="J8" s="586"/>
      <c r="K8" s="586"/>
    </row>
    <row r="9" spans="1:25" ht="12" customHeight="1" x14ac:dyDescent="0.3">
      <c r="B9" s="38" t="s">
        <v>3</v>
      </c>
      <c r="C9" s="57"/>
      <c r="D9" s="2"/>
      <c r="E9" s="593" t="str">
        <f>'Reference data'!AJ5</f>
        <v>Changing crew</v>
      </c>
      <c r="F9" s="594"/>
      <c r="G9" s="178" t="s">
        <v>84</v>
      </c>
      <c r="I9" s="32"/>
      <c r="J9" s="32"/>
      <c r="K9" s="36"/>
    </row>
    <row r="10" spans="1:25" ht="12" customHeight="1" x14ac:dyDescent="0.3">
      <c r="B10" s="39" t="s">
        <v>47</v>
      </c>
      <c r="C10" s="57"/>
      <c r="D10" s="2"/>
      <c r="E10" s="593" t="str">
        <f>'Reference data'!AJ6</f>
        <v>Goodwill visit</v>
      </c>
      <c r="F10" s="594"/>
      <c r="G10" s="178" t="s">
        <v>84</v>
      </c>
      <c r="I10" s="32"/>
      <c r="J10" s="32"/>
      <c r="K10" s="36"/>
    </row>
    <row r="11" spans="1:25" ht="12" customHeight="1" x14ac:dyDescent="0.3">
      <c r="B11" s="280" t="s">
        <v>49</v>
      </c>
      <c r="C11" s="58"/>
      <c r="D11" s="2"/>
      <c r="E11" s="593" t="str">
        <f>'Reference data'!AJ7</f>
        <v>Taking supplies</v>
      </c>
      <c r="F11" s="594"/>
      <c r="G11" s="178" t="s">
        <v>84</v>
      </c>
      <c r="I11" s="32"/>
      <c r="J11" s="32"/>
      <c r="K11" s="36"/>
    </row>
    <row r="12" spans="1:25" ht="12" customHeight="1" x14ac:dyDescent="0.3">
      <c r="B12" s="281" t="s">
        <v>55</v>
      </c>
      <c r="C12" s="58"/>
      <c r="D12" s="2"/>
      <c r="E12" s="593" t="str">
        <f>'Reference data'!AJ8</f>
        <v>Repair</v>
      </c>
      <c r="F12" s="594"/>
      <c r="G12" s="178" t="s">
        <v>84</v>
      </c>
      <c r="I12" s="32"/>
      <c r="J12" s="32"/>
      <c r="K12" s="36"/>
    </row>
    <row r="13" spans="1:25" ht="15" customHeight="1" x14ac:dyDescent="0.3">
      <c r="B13" s="39" t="s">
        <v>1367</v>
      </c>
      <c r="C13" s="523"/>
      <c r="D13" s="2"/>
      <c r="E13" s="593" t="str">
        <f>'Reference data'!AJ9</f>
        <v>Laid-up</v>
      </c>
      <c r="F13" s="594"/>
      <c r="G13" s="178" t="s">
        <v>84</v>
      </c>
      <c r="I13" s="8"/>
      <c r="J13" s="8"/>
      <c r="K13" s="36"/>
    </row>
    <row r="14" spans="1:25" s="36" customFormat="1" ht="12" customHeight="1" x14ac:dyDescent="0.3">
      <c r="B14" s="39" t="s">
        <v>1366</v>
      </c>
      <c r="C14" s="523"/>
      <c r="E14" s="593" t="str">
        <f>'Reference data'!AJ10</f>
        <v>Awaiting orders</v>
      </c>
      <c r="F14" s="594"/>
      <c r="G14" s="178" t="s">
        <v>84</v>
      </c>
      <c r="I14" s="8"/>
      <c r="J14" s="8"/>
    </row>
    <row r="15" spans="1:25" s="36" customFormat="1" ht="12" customHeight="1" x14ac:dyDescent="0.3">
      <c r="B15" s="39" t="s">
        <v>1363</v>
      </c>
      <c r="C15" s="524"/>
      <c r="E15" s="593" t="str">
        <f>'Reference data'!AJ11</f>
        <v>Miscellaneous</v>
      </c>
      <c r="F15" s="594"/>
      <c r="G15" s="178" t="s">
        <v>84</v>
      </c>
      <c r="I15" s="8"/>
      <c r="J15" s="8"/>
    </row>
    <row r="16" spans="1:25" ht="12" customHeight="1" x14ac:dyDescent="0.3">
      <c r="B16" s="39" t="s">
        <v>46</v>
      </c>
      <c r="C16" s="525"/>
      <c r="D16" s="2"/>
      <c r="E16" s="593" t="str">
        <f>'Reference data'!AJ12</f>
        <v>Crew movement</v>
      </c>
      <c r="F16" s="594"/>
      <c r="G16" s="178" t="s">
        <v>84</v>
      </c>
      <c r="I16" s="8"/>
      <c r="J16" s="8"/>
      <c r="K16" s="36"/>
    </row>
    <row r="17" spans="2:11" ht="12.75" customHeight="1" x14ac:dyDescent="0.3">
      <c r="B17" s="38" t="s">
        <v>1368</v>
      </c>
      <c r="C17" s="523"/>
      <c r="D17" s="2"/>
      <c r="E17" s="593" t="str">
        <f>'Reference data'!AJ13</f>
        <v>Cruise, leisure and recreation</v>
      </c>
      <c r="F17" s="594"/>
      <c r="G17" s="178" t="s">
        <v>84</v>
      </c>
      <c r="I17" s="36"/>
      <c r="J17" s="36"/>
      <c r="K17" s="36"/>
    </row>
    <row r="18" spans="2:11" s="36" customFormat="1" ht="12" customHeight="1" x14ac:dyDescent="0.3">
      <c r="B18" s="38" t="s">
        <v>1369</v>
      </c>
      <c r="C18" s="526"/>
      <c r="E18" s="593" t="str">
        <f>'Reference data'!AJ14</f>
        <v>Under government order</v>
      </c>
      <c r="F18" s="594"/>
      <c r="G18" s="178" t="s">
        <v>84</v>
      </c>
    </row>
    <row r="19" spans="2:11" s="36" customFormat="1" ht="12" customHeight="1" x14ac:dyDescent="0.3">
      <c r="B19" s="38" t="s">
        <v>1365</v>
      </c>
      <c r="C19" s="383"/>
      <c r="E19" s="593" t="str">
        <f>'Reference data'!AJ15</f>
        <v>Quarantine inspection</v>
      </c>
      <c r="F19" s="594"/>
      <c r="G19" s="178" t="s">
        <v>84</v>
      </c>
      <c r="J19" s="203"/>
    </row>
    <row r="20" spans="2:11" ht="13.5" customHeight="1" thickBot="1" x14ac:dyDescent="0.35">
      <c r="B20" s="38" t="s">
        <v>48</v>
      </c>
      <c r="C20" s="58"/>
      <c r="D20" s="2"/>
      <c r="E20" s="593" t="str">
        <f>'Reference data'!AJ16</f>
        <v>Refuge</v>
      </c>
      <c r="F20" s="594"/>
      <c r="G20" s="178" t="s">
        <v>84</v>
      </c>
      <c r="I20" s="36"/>
      <c r="J20" s="36"/>
      <c r="K20" s="36"/>
    </row>
    <row r="21" spans="2:11" ht="12" customHeight="1" thickBot="1" x14ac:dyDescent="0.35">
      <c r="B21" s="606" t="s">
        <v>50</v>
      </c>
      <c r="C21" s="603"/>
      <c r="D21" s="2"/>
      <c r="E21" s="598" t="s">
        <v>630</v>
      </c>
      <c r="F21" s="599"/>
      <c r="G21" s="179">
        <f>COUNTIF(Voyage!$G$6:$G$20,"Yes")</f>
        <v>0</v>
      </c>
      <c r="I21" s="36"/>
      <c r="J21" s="36"/>
      <c r="K21" s="36"/>
    </row>
    <row r="22" spans="2:11" ht="4.5" customHeight="1" thickTop="1" x14ac:dyDescent="0.25">
      <c r="B22" s="607"/>
      <c r="C22" s="604"/>
      <c r="D22" s="2"/>
      <c r="E22" s="156"/>
      <c r="F22" s="156"/>
      <c r="G22" s="3"/>
      <c r="I22" s="36"/>
      <c r="J22" s="36"/>
      <c r="K22" s="36"/>
    </row>
    <row r="23" spans="2:11" s="36" customFormat="1" ht="12" customHeight="1" x14ac:dyDescent="0.25">
      <c r="B23" s="607"/>
      <c r="C23" s="604"/>
    </row>
    <row r="24" spans="2:11" s="36" customFormat="1" ht="12" customHeight="1" x14ac:dyDescent="0.25">
      <c r="B24" s="607"/>
      <c r="C24" s="604"/>
      <c r="E24" s="165"/>
      <c r="F24" s="165"/>
      <c r="G24" s="165"/>
    </row>
    <row r="25" spans="2:11" s="36" customFormat="1" ht="12" customHeight="1" thickBot="1" x14ac:dyDescent="0.3">
      <c r="B25" s="608"/>
      <c r="C25" s="605"/>
      <c r="E25" s="165"/>
      <c r="F25" s="165"/>
      <c r="G25" s="165"/>
    </row>
    <row r="26" spans="2:11" s="36" customFormat="1" ht="6.75" customHeight="1" thickTop="1" thickBot="1" x14ac:dyDescent="0.3">
      <c r="B26" s="3"/>
      <c r="C26" s="284"/>
      <c r="E26" s="165"/>
      <c r="F26" s="165"/>
      <c r="G26" s="165"/>
    </row>
    <row r="27" spans="2:11" ht="12" customHeight="1" thickTop="1" thickBot="1" x14ac:dyDescent="0.3">
      <c r="B27" s="575" t="s">
        <v>1861</v>
      </c>
      <c r="C27" s="577"/>
      <c r="D27" s="2"/>
      <c r="E27" s="602" t="s">
        <v>1452</v>
      </c>
      <c r="F27" s="602"/>
      <c r="G27" s="602"/>
      <c r="I27" s="36"/>
      <c r="J27" s="36"/>
      <c r="K27" s="36"/>
    </row>
    <row r="28" spans="2:11" ht="12" customHeight="1" thickTop="1" x14ac:dyDescent="0.25">
      <c r="B28" s="600"/>
      <c r="C28" s="601"/>
      <c r="D28" s="2"/>
      <c r="E28" s="602"/>
      <c r="F28" s="602"/>
      <c r="G28" s="602"/>
      <c r="I28" s="35"/>
      <c r="J28" s="35"/>
      <c r="K28" s="36"/>
    </row>
    <row r="29" spans="2:11" ht="13.5" customHeight="1" thickBot="1" x14ac:dyDescent="0.35">
      <c r="B29" s="42" t="s">
        <v>1939</v>
      </c>
      <c r="C29" s="106"/>
      <c r="D29" s="2"/>
      <c r="E29" s="596" t="s">
        <v>1863</v>
      </c>
      <c r="F29" s="597"/>
      <c r="G29" s="58"/>
      <c r="I29" s="35"/>
      <c r="J29" s="35"/>
      <c r="K29" s="36"/>
    </row>
    <row r="30" spans="2:11" ht="13.5" customHeight="1" thickTop="1" thickBot="1" x14ac:dyDescent="0.35">
      <c r="D30" s="7"/>
      <c r="E30" s="598" t="s">
        <v>1938</v>
      </c>
      <c r="F30" s="599"/>
      <c r="G30" s="107"/>
      <c r="I30" s="35"/>
      <c r="J30" s="35"/>
      <c r="K30" s="36"/>
    </row>
    <row r="31" spans="2:11" ht="12" customHeight="1" thickTop="1" thickBot="1" x14ac:dyDescent="0.3">
      <c r="B31" s="595" t="s">
        <v>1451</v>
      </c>
      <c r="C31" s="595"/>
      <c r="D31" s="108"/>
      <c r="E31" s="161"/>
      <c r="F31" s="156"/>
      <c r="G31" s="36"/>
      <c r="H31" s="35"/>
      <c r="I31" s="35"/>
      <c r="J31" s="35"/>
      <c r="K31" s="36"/>
    </row>
    <row r="32" spans="2:11" ht="12" customHeight="1" thickTop="1" x14ac:dyDescent="0.25">
      <c r="B32" s="595"/>
      <c r="C32" s="595"/>
      <c r="D32" s="108"/>
      <c r="E32" s="153"/>
      <c r="G32" s="3"/>
      <c r="H32" s="1"/>
      <c r="I32" s="1"/>
      <c r="J32" s="1"/>
      <c r="K32" s="36"/>
    </row>
    <row r="33" spans="2:11" ht="12" customHeight="1" x14ac:dyDescent="0.3">
      <c r="B33" s="167" t="s">
        <v>1862</v>
      </c>
      <c r="C33" s="285"/>
      <c r="D33" s="160"/>
      <c r="E33" s="153"/>
      <c r="G33" s="3"/>
      <c r="H33" s="96"/>
      <c r="I33" s="96"/>
      <c r="J33" s="96"/>
      <c r="K33" s="36"/>
    </row>
    <row r="34" spans="2:11" ht="12" customHeight="1" thickBot="1" x14ac:dyDescent="0.35">
      <c r="B34" s="166" t="s">
        <v>56</v>
      </c>
      <c r="C34" s="286"/>
      <c r="D34" s="176"/>
      <c r="E34" s="153"/>
      <c r="G34" s="3"/>
      <c r="H34" s="96"/>
      <c r="I34" s="96"/>
      <c r="J34" s="96"/>
      <c r="K34" s="36"/>
    </row>
    <row r="35" spans="2:11" ht="12" customHeight="1" thickTop="1" x14ac:dyDescent="0.3">
      <c r="D35" s="31"/>
      <c r="G35" s="3"/>
      <c r="H35" s="96"/>
      <c r="I35" s="96"/>
      <c r="J35" s="96"/>
      <c r="K35" s="36"/>
    </row>
    <row r="36" spans="2:11" ht="1.5" customHeight="1" x14ac:dyDescent="0.3">
      <c r="G36" s="3"/>
      <c r="H36" s="96"/>
      <c r="I36" s="96"/>
      <c r="J36" s="96"/>
      <c r="K36" s="36"/>
    </row>
    <row r="37" spans="2:11" ht="14.25" hidden="1" customHeight="1" x14ac:dyDescent="0.3">
      <c r="B37" s="3" t="s">
        <v>1911</v>
      </c>
      <c r="C37" s="284" t="s">
        <v>2043</v>
      </c>
      <c r="G37" s="3"/>
      <c r="H37" s="96"/>
      <c r="I37" s="96"/>
      <c r="J37" s="96"/>
      <c r="K37" s="36"/>
    </row>
    <row r="38" spans="2:11" ht="12" customHeight="1" x14ac:dyDescent="0.25">
      <c r="G38" s="3"/>
      <c r="H38" s="1"/>
      <c r="I38" s="1"/>
      <c r="J38" s="1"/>
      <c r="K38" s="36"/>
    </row>
    <row r="39" spans="2:11" ht="12" customHeight="1" x14ac:dyDescent="0.25">
      <c r="G39" s="3"/>
      <c r="H39" s="1"/>
      <c r="I39" s="1"/>
      <c r="J39" s="1"/>
      <c r="K39" s="36"/>
    </row>
    <row r="40" spans="2:11" ht="12" customHeight="1" x14ac:dyDescent="0.25">
      <c r="G40" s="3"/>
      <c r="K40" s="36"/>
    </row>
    <row r="41" spans="2:11" ht="12" customHeight="1" x14ac:dyDescent="0.25">
      <c r="G41" s="3"/>
      <c r="K41" s="36"/>
    </row>
    <row r="42" spans="2:11" ht="12" customHeight="1" x14ac:dyDescent="0.25">
      <c r="G42" s="3"/>
      <c r="K42" s="36"/>
    </row>
    <row r="43" spans="2:11" ht="12" customHeight="1" x14ac:dyDescent="0.25">
      <c r="B43" s="512"/>
      <c r="G43" s="3"/>
      <c r="K43" s="36"/>
    </row>
    <row r="44" spans="2:11" ht="12" customHeight="1" x14ac:dyDescent="0.25">
      <c r="G44" s="3"/>
      <c r="K44" s="36"/>
    </row>
    <row r="45" spans="2:11" ht="12" customHeight="1" x14ac:dyDescent="0.25">
      <c r="G45" s="3"/>
      <c r="K45" s="36"/>
    </row>
    <row r="46" spans="2:11" ht="12" customHeight="1" x14ac:dyDescent="0.25">
      <c r="G46" s="3"/>
      <c r="K46" s="36"/>
    </row>
    <row r="47" spans="2:11" ht="12.75" customHeight="1" x14ac:dyDescent="0.25">
      <c r="G47" s="3"/>
      <c r="K47" s="36"/>
    </row>
    <row r="48" spans="2:11" ht="12.5" x14ac:dyDescent="0.25">
      <c r="G48" s="3"/>
      <c r="K48" s="36"/>
    </row>
    <row r="49" spans="7:11" ht="12.5" x14ac:dyDescent="0.25">
      <c r="G49" s="3"/>
      <c r="K49" s="36"/>
    </row>
    <row r="59" spans="7:11" ht="14.25" customHeight="1" x14ac:dyDescent="0.3"/>
    <row r="60" spans="7:11" ht="13.5" customHeight="1" x14ac:dyDescent="0.3"/>
    <row r="66" ht="12.75" customHeight="1" x14ac:dyDescent="0.3"/>
  </sheetData>
  <sheetProtection password="A656" sheet="1" formatCells="0" formatColumns="0" formatRows="0" selectLockedCells="1"/>
  <mergeCells count="27">
    <mergeCell ref="B31:C32"/>
    <mergeCell ref="E29:F29"/>
    <mergeCell ref="E30:F30"/>
    <mergeCell ref="B27:C28"/>
    <mergeCell ref="E20:F20"/>
    <mergeCell ref="E21:F21"/>
    <mergeCell ref="E27:G28"/>
    <mergeCell ref="C21:C25"/>
    <mergeCell ref="B21:B25"/>
    <mergeCell ref="E12:F12"/>
    <mergeCell ref="E13:F13"/>
    <mergeCell ref="E19:F19"/>
    <mergeCell ref="E14:F14"/>
    <mergeCell ref="E15:F15"/>
    <mergeCell ref="E16:F16"/>
    <mergeCell ref="E17:F17"/>
    <mergeCell ref="E18:F18"/>
    <mergeCell ref="I5:K5"/>
    <mergeCell ref="I6:K7"/>
    <mergeCell ref="I8:K8"/>
    <mergeCell ref="B5:C5"/>
    <mergeCell ref="E11:F11"/>
    <mergeCell ref="E6:F6"/>
    <mergeCell ref="E7:F7"/>
    <mergeCell ref="E8:F8"/>
    <mergeCell ref="E9:F9"/>
    <mergeCell ref="E10:F10"/>
  </mergeCells>
  <conditionalFormatting sqref="G6:G20">
    <cfRule type="expression" dxfId="112" priority="27">
      <formula>G6="Yes"</formula>
    </cfRule>
  </conditionalFormatting>
  <conditionalFormatting sqref="B33">
    <cfRule type="expression" dxfId="111" priority="21">
      <formula xml:space="preserve"> OR( AND(VOY_VOY_ETA="",VOY_ARR_ATA=""), AND(VOY_VOY_ETA="",VOY_ARR_ATA&lt;&gt;""), AND(VOY_VOY_ETA&lt;&gt;"",VOY_ARR_ATA&lt;&gt;"") )</formula>
    </cfRule>
  </conditionalFormatting>
  <conditionalFormatting sqref="B34">
    <cfRule type="expression" dxfId="110" priority="18">
      <formula xml:space="preserve"> OR( AND(VOY_ARR_ANCHORAGE="",VOY_ARR_ATA&lt;&gt;""), AND(VOY_ARR_ANCHORAGE&lt;&gt;"",VOY_ARR_ATA&lt;&gt;"") )</formula>
    </cfRule>
  </conditionalFormatting>
  <conditionalFormatting sqref="E6:E20">
    <cfRule type="expression" dxfId="109" priority="497">
      <formula>G6="Yes"</formula>
    </cfRule>
  </conditionalFormatting>
  <conditionalFormatting sqref="E2">
    <cfRule type="expression" dxfId="108" priority="3">
      <formula>VOY_STATUS="Empty"</formula>
    </cfRule>
    <cfRule type="expression" dxfId="107" priority="15">
      <formula>VOY_STATUS="Invalid"</formula>
    </cfRule>
    <cfRule type="expression" dxfId="106" priority="499">
      <formula>VOY_STATUS="Valid"</formula>
    </cfRule>
  </conditionalFormatting>
  <conditionalFormatting sqref="C7">
    <cfRule type="expression" dxfId="105" priority="14">
      <formula>iserrror(TMP_VOY_PORTOFCALL)</formula>
    </cfRule>
  </conditionalFormatting>
  <conditionalFormatting sqref="B29">
    <cfRule type="expression" dxfId="104" priority="12">
      <formula>IHZ_DET_HAZONBOARD="Yes"</formula>
    </cfRule>
  </conditionalFormatting>
  <conditionalFormatting sqref="B19">
    <cfRule type="expression" dxfId="103" priority="11">
      <formula>AND(SUM_INCLUDE_OHZ="Include",OHZ_DET_HAZONBOARD="Yes",LEN(VOY_VOY_NEXTPORT)&lt;&gt;5)</formula>
    </cfRule>
  </conditionalFormatting>
  <conditionalFormatting sqref="E30">
    <cfRule type="expression" dxfId="102" priority="9">
      <formula>OHZ_DET_HAZONBOARD="Yes"</formula>
    </cfRule>
  </conditionalFormatting>
  <conditionalFormatting sqref="B20">
    <cfRule type="expression" dxfId="101" priority="8">
      <formula>OHZ_DET_HAZONBOARD="Yes"</formula>
    </cfRule>
  </conditionalFormatting>
  <conditionalFormatting sqref="B11">
    <cfRule type="expression" dxfId="100" priority="7">
      <formula xml:space="preserve"> OR( AND(VOY_VOY_ETA="",VOY_ARR_ATA=""), AND(VOY_VOY_ETA&lt;&gt;"",VOY_ARR_ATA=""), AND(VOY_VOY_ETA&lt;&gt;"",VOY_ARR_ATA&lt;&gt;"") )</formula>
    </cfRule>
  </conditionalFormatting>
  <conditionalFormatting sqref="B12">
    <cfRule type="expression" dxfId="99" priority="6">
      <formula xml:space="preserve"> OR( AND(VOY_VOY_ETD="",VOY_DEP_ATD=""), AND(VOY_VOY_ETD&lt;&gt;"",VOY_DEP_ATD=""), AND(VOY_VOY_ETD&lt;&gt;"",VOY_DEP_ATD&lt;&gt;"") )</formula>
    </cfRule>
  </conditionalFormatting>
  <conditionalFormatting sqref="E29:F29">
    <cfRule type="expression" dxfId="98" priority="5">
      <formula xml:space="preserve"> OR( AND(VOY_VOY_ETD="",VOY_DEP_ATD=""), AND(VOY_VOY_ETD="",VOY_DEP_ATD&lt;&gt;""), AND(VOY_VOY_ETD&lt;&gt;"",VOY_DEP_ATD&lt;&gt;"") )</formula>
    </cfRule>
  </conditionalFormatting>
  <conditionalFormatting sqref="C8">
    <cfRule type="expression" dxfId="97" priority="1">
      <formula>iserrror(TMP_VOY_PORTOFCALL)</formula>
    </cfRule>
  </conditionalFormatting>
  <dataValidations xWindow="608" yWindow="460" count="15">
    <dataValidation type="list" allowBlank="1" showInputMessage="1" showErrorMessage="1" error="Select 'Yes' or 'No' from the dropdown" promptTitle="Anchorage" prompt="Indicates whether the ship is at anchorage_x000a__x000a_Choose 'Yes' or 'No' from dropdown menu" sqref="C34" xr:uid="{00000000-0002-0000-0200-000000000000}">
      <formula1>REF_YES_NO</formula1>
    </dataValidation>
    <dataValidation type="textLength" operator="lessThanOrEqual" allowBlank="1" showInputMessage="1" showErrorMessage="1" error="Max 50 characters." promptTitle="Position in port of call" prompt="The vessels position in the port of call_x000a__x000a_Max 50 characters" sqref="C10" xr:uid="{00000000-0002-0000-0200-000001000000}">
      <formula1>50</formula1>
    </dataValidation>
    <dataValidation type="custom" allowBlank="1" showInputMessage="1" showErrorMessage="1" errorTitle="Warning" error="Port facility must be exactly 4 digits." promptTitle="Port facility" prompt="The port facility's code as in the IMO GISIS maritime security database._x000a_Generic code “0000” to be used in case port facility is:_x000a_- not ISPS-approved_x000a_- recently approved but still not included in the GISIS database_x000a__x000a_Must be 4 characters" sqref="C9" xr:uid="{00000000-0002-0000-0200-000002000000}">
      <formula1>IF(AND(LEN(C9)=4,ISNUMBER(TRIM(C9)*1)),TRUE(),FALSE())</formula1>
    </dataValidation>
    <dataValidation type="whole" allowBlank="1" showInputMessage="1" showErrorMessage="1" error="Invalid number. Use '99999' if number is unknown." promptTitle="Persons aboard" prompt="Total number of persons aboard toward port of call_x000a__x000a_Use '99999' if number is unknown_x000a__x000a_Must be whole number less than 100000" sqref="C29" xr:uid="{00000000-0002-0000-0200-000003000000}">
      <formula1>1</formula1>
      <formula2>99999</formula2>
    </dataValidation>
    <dataValidation type="whole" allowBlank="1" showInputMessage="1" showErrorMessage="1" errorTitle="Warning" error="Invalid number. Use '99999' if number is unknown." promptTitle="Persons aboard" prompt="Total number of persons aboard towards next port_x000a__x000a_Use '99999' if number is unknown_x000a__x000a_Must be whole number less than 100000" sqref="G30" xr:uid="{00000000-0002-0000-0200-000004000000}">
      <formula1>1</formula1>
      <formula2>100000</formula2>
    </dataValidation>
    <dataValidation type="list" allowBlank="1" showErrorMessage="1" errorTitle="Error" error="Possible values are 'Yes' and 'No'" sqref="G6:G20" xr:uid="{00000000-0002-0000-0200-000005000000}">
      <formula1>REF_YES_NO</formula1>
    </dataValidation>
    <dataValidation type="date" allowBlank="1" showInputMessage="1" showErrorMessage="1" errorTitle="Error" error="Invalid date. Try inserting the date in the same format as your computer system's datetime format." promptTitle="ATA Port of call" prompt="The vessel's actual time of arrival at the port of call _x000a__x000a_Must be in the dd/mm/yyyy hh:mm 24 hour format" sqref="C33" xr:uid="{00000000-0002-0000-0200-000006000000}">
      <formula1>1</formula1>
      <formula2>72686</formula2>
    </dataValidation>
    <dataValidation type="time" operator="lessThanOrEqual" allowBlank="1" showInputMessage="1" showErrorMessage="1" errorTitle="Invalid Date" error="Invalid date. Try inserting the date in the same format as your computer system's datetime format. Must be less than ETA to port of call." promptTitle="ETD from last port" prompt="The expected time of departure from the last port_x000a__x000a_Must be less than ETA to port of call_x000a__x000a_Should be in Excel datetime format_x000a_" sqref="C16" xr:uid="{00000000-0002-0000-0200-000007000000}">
      <formula1>VOY_VOY_ETA</formula1>
    </dataValidation>
    <dataValidation type="date" operator="greaterThanOrEqual" allowBlank="1" showInputMessage="1" showErrorMessage="1" errorTitle="Invalid Date" error="Invalid date. Try inserting the date in the same format as your computer system's date format. Should be in Excel datetime  format and greater than ATA to port of call" promptTitle="ATD Port of call" prompt="The vessels actual time of departure from the port of call_x000a__x000a_Must be greater than ATA to port of call_x000a__x000a_Should be in Excel datetime format" sqref="G29" xr:uid="{00000000-0002-0000-0200-000008000000}">
      <formula1>VOY_ARR_ATA</formula1>
    </dataValidation>
    <dataValidation type="textLength" allowBlank="1" showInputMessage="1" showErrorMessage="1" error="Max 255 characters." promptTitle="Brief cargo description" prompt="Brief description of the vessel's cargo_x000a__x000a_Max 255 characters" sqref="C21:C25" xr:uid="{00000000-0002-0000-0200-000009000000}">
      <formula1>0</formula1>
      <formula2>255</formula2>
    </dataValidation>
    <dataValidation type="custom" operator="equal" showDropDown="1" showInputMessage="1" showErrorMessage="1" error="Invalid LOCODE: must be 5 characters of letters and numbers with no spaces." promptTitle="LOCODE" prompt="Must be 5 characters." sqref="C15 C19 C8" xr:uid="{00000000-0002-0000-0200-00000A000000}">
      <formula1>IFERROR(AND(SUMPRODUCT(SEARCH(MID(C8,ROW(INDIRECT("1:"&amp;LEN(C8))),1),"abcdefghijklmnopqrstuvwxyz0123456789")),LEN(C8)=5),FALSE)</formula1>
    </dataValidation>
    <dataValidation type="date" allowBlank="1" showInputMessage="1" showErrorMessage="1" errorTitle="Error" error="Invalid date time. Try inserting the date in the same format as your computer system's date format." promptTitle="ETA to port of call" prompt="The vessel's expected time of arrival at the port of call_x000a__x000a_Should be in Excel datetime format_x000a_" sqref="C11" xr:uid="{00000000-0002-0000-0200-00000B000000}">
      <formula1>1</formula1>
      <formula2>72686</formula2>
    </dataValidation>
    <dataValidation type="date" allowBlank="1" showInputMessage="1" showErrorMessage="1" errorTitle="Error" error="Invalid date. Try inserting the date in the same format as your computer system's datetime format." promptTitle="ETD from port of call" prompt="The vessels expected time of departure from the port of call_x000a__x000a_Should be in Excel datetime format_x000a_" sqref="C12" xr:uid="{00000000-0002-0000-0200-00000C000000}">
      <formula1>1</formula1>
      <formula2>72686</formula2>
    </dataValidation>
    <dataValidation operator="lessThanOrEqual" allowBlank="1" sqref="G21" xr:uid="{00000000-0002-0000-0200-00000D000000}"/>
    <dataValidation type="date" allowBlank="1" showInputMessage="1" showErrorMessage="1" errorTitle="Error" error="Invalid date. Try inserting the date in the same format as your computer system's datetime format." promptTitle="ETA to next port" prompt="The vessels expected time of arrival at the next port of call_x000a__x000a_Should be in Excel datetime format" sqref="C20" xr:uid="{84ACE144-0898-41DF-BBD0-A4C751DA1B2E}">
      <formula1>1</formula1>
      <formula2>72686</formula2>
    </dataValidation>
  </dataValidations>
  <pageMargins left="0.23622047244094488" right="0.23622047244094488" top="0.39370078740157483" bottom="0.39370078740157483" header="0.31496062992125984" footer="0.31496062992125984"/>
  <pageSetup paperSize="9" scale="77" fitToHeight="0" orientation="landscape" r:id="rId1"/>
  <drawing r:id="rId2"/>
  <legacyDrawing r:id="rId3"/>
  <controls>
    <mc:AlternateContent xmlns:mc="http://schemas.openxmlformats.org/markup-compatibility/2006">
      <mc:Choice Requires="x14">
        <control shapeId="13345" r:id="rId4" name="ComboBox2">
          <controlPr defaultSize="0" autoLine="0" autoPict="0" linkedCell="VES_VDE_REGPORT" listFillRange="REF_LOCODE_PORTNAME_COUNTRY" r:id="rId5">
            <anchor moveWithCells="1" sizeWithCells="1">
              <from>
                <xdr:col>4</xdr:col>
                <xdr:colOff>0</xdr:colOff>
                <xdr:row>18</xdr:row>
                <xdr:rowOff>12700</xdr:rowOff>
              </from>
              <to>
                <xdr:col>4</xdr:col>
                <xdr:colOff>0</xdr:colOff>
                <xdr:row>18</xdr:row>
                <xdr:rowOff>203200</xdr:rowOff>
              </to>
            </anchor>
          </controlPr>
        </control>
      </mc:Choice>
      <mc:Fallback>
        <control shapeId="13345" r:id="rId4" name="ComboBox2"/>
      </mc:Fallback>
    </mc:AlternateContent>
    <mc:AlternateContent xmlns:mc="http://schemas.openxmlformats.org/markup-compatibility/2006">
      <mc:Choice Requires="x14">
        <control shapeId="13346" r:id="rId6" name="VOY_VOY_POC_DROPDOWN">
          <controlPr defaultSize="0" autoLine="0" linkedCell="TMP_VOY_PORTOFCALL" listFillRange="REF_UK_LOCODES_PORTNAMES" r:id="rId7">
            <anchor moveWithCells="1" sizeWithCells="1">
              <from>
                <xdr:col>2</xdr:col>
                <xdr:colOff>19050</xdr:colOff>
                <xdr:row>5</xdr:row>
                <xdr:rowOff>0</xdr:rowOff>
              </from>
              <to>
                <xdr:col>2</xdr:col>
                <xdr:colOff>3048000</xdr:colOff>
                <xdr:row>6</xdr:row>
                <xdr:rowOff>0</xdr:rowOff>
              </to>
            </anchor>
          </controlPr>
        </control>
      </mc:Choice>
      <mc:Fallback>
        <control shapeId="13346" r:id="rId6" name="VOY_VOY_POC_DROPDOWN"/>
      </mc:Fallback>
    </mc:AlternateContent>
  </controls>
  <extLst>
    <ext xmlns:x14="http://schemas.microsoft.com/office/spreadsheetml/2009/9/main" uri="{78C0D931-6437-407d-A8EE-F0AAD7539E65}">
      <x14:conditionalFormattings>
        <x14:conditionalFormatting xmlns:xm="http://schemas.microsoft.com/office/excel/2006/main">
          <x14:cfRule type="iconSet" priority="24" id="{90DF9F65-932F-4D8B-A2D0-CEC0FF08F407}">
            <x14:iconSet iconSet="3Symbols" custom="1">
              <x14:cfvo type="percent">
                <xm:f>0</xm:f>
              </x14:cfvo>
              <x14:cfvo type="num" gte="0">
                <xm:f>0</xm:f>
              </x14:cfvo>
              <x14:cfvo type="num" gte="0">
                <xm:f>9</xm:f>
              </x14:cfvo>
              <x14:cfIcon iconSet="3TrafficLights1" iconId="1"/>
              <x14:cfIcon iconSet="3Symbols" iconId="2"/>
              <x14:cfIcon iconSet="3Symbols" iconId="0"/>
            </x14:iconSet>
          </x14:cfRule>
          <xm:sqref>G21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00B0F0"/>
    <pageSetUpPr autoPageBreaks="0" fitToPage="1"/>
  </sheetPr>
  <dimension ref="A1:AD78"/>
  <sheetViews>
    <sheetView showGridLines="0" zoomScale="90" zoomScaleNormal="90" zoomScaleSheetLayoutView="95" workbookViewId="0">
      <pane ySplit="3" topLeftCell="A46" activePane="bottomLeft" state="frozen"/>
      <selection activeCell="A2" sqref="A2"/>
      <selection pane="bottomLeft" activeCell="J66" sqref="J66"/>
    </sheetView>
  </sheetViews>
  <sheetFormatPr defaultColWidth="9.1796875" defaultRowHeight="12.5" x14ac:dyDescent="0.25"/>
  <cols>
    <col min="1" max="1" width="3.26953125" style="2" customWidth="1"/>
    <col min="2" max="2" width="11.1796875" style="3" customWidth="1"/>
    <col min="3" max="3" width="17" style="84" customWidth="1"/>
    <col min="4" max="4" width="27.54296875" style="3" customWidth="1"/>
    <col min="5" max="5" width="1.26953125" style="79" customWidth="1"/>
    <col min="6" max="6" width="11.26953125" style="94" customWidth="1"/>
    <col min="7" max="7" width="4.54296875" style="434" customWidth="1"/>
    <col min="8" max="8" width="20" style="3" bestFit="1" customWidth="1"/>
    <col min="9" max="9" width="16.453125" style="148" customWidth="1"/>
    <col min="10" max="10" width="10.54296875" style="3" customWidth="1"/>
    <col min="11" max="11" width="5.81640625" style="84" customWidth="1"/>
    <col min="12" max="12" width="1.453125" style="84" customWidth="1"/>
    <col min="13" max="13" width="8" style="150" customWidth="1"/>
    <col min="14" max="14" width="6.1796875" style="84" customWidth="1"/>
    <col min="15" max="15" width="5.26953125" style="3" customWidth="1"/>
    <col min="16" max="16" width="3.7265625" style="164" customWidth="1"/>
    <col min="17" max="17" width="5.453125" style="3" customWidth="1"/>
    <col min="18" max="18" width="16.453125" style="3" customWidth="1"/>
    <col min="19" max="19" width="5.81640625" style="3" customWidth="1"/>
    <col min="20" max="20" width="6" style="164" customWidth="1"/>
    <col min="21" max="21" width="11.453125" style="2" customWidth="1"/>
    <col min="22" max="22" width="2.7265625" style="151" customWidth="1"/>
    <col min="23" max="23" width="2.81640625" style="2" customWidth="1"/>
    <col min="24" max="24" width="4" style="251" customWidth="1"/>
    <col min="25" max="25" width="17.26953125" style="3" customWidth="1"/>
    <col min="26" max="26" width="4.81640625" style="3" customWidth="1"/>
    <col min="27" max="27" width="29.1796875" style="2" customWidth="1"/>
    <col min="28" max="28" width="23" style="2" customWidth="1"/>
    <col min="29" max="29" width="14.7265625" style="2" customWidth="1"/>
    <col min="30" max="16384" width="9.1796875" style="2"/>
  </cols>
  <sheetData>
    <row r="1" spans="1:30" s="34" customFormat="1" ht="4.5" customHeight="1" x14ac:dyDescent="0.25"/>
    <row r="2" spans="1:30" s="77" customFormat="1" ht="20" x14ac:dyDescent="0.25">
      <c r="A2" s="74"/>
      <c r="B2" s="74" t="s">
        <v>1414</v>
      </c>
      <c r="C2" s="74"/>
      <c r="D2" s="74"/>
      <c r="E2" s="74"/>
      <c r="F2" s="74"/>
      <c r="G2" s="74"/>
      <c r="H2" s="256" t="s">
        <v>1498</v>
      </c>
      <c r="I2" s="513" t="str">
        <f>WAS_STATUS</f>
        <v>Empty</v>
      </c>
      <c r="J2" s="436" t="str">
        <f>IFERROR(WAS_VALID_RES,"")</f>
        <v>‘Waste delivery status’ is required</v>
      </c>
      <c r="K2" s="258"/>
      <c r="L2" s="258"/>
      <c r="M2" s="258"/>
      <c r="N2" s="258"/>
      <c r="O2" s="258"/>
      <c r="P2" s="258"/>
      <c r="Q2" s="258"/>
      <c r="R2" s="258"/>
      <c r="S2" s="258"/>
      <c r="T2" s="258"/>
      <c r="U2" s="258"/>
      <c r="V2" s="258"/>
      <c r="W2" s="258"/>
      <c r="X2" s="258"/>
      <c r="Y2" s="258"/>
      <c r="Z2" s="258"/>
      <c r="AA2" s="258"/>
      <c r="AB2" s="258"/>
    </row>
    <row r="3" spans="1:30" s="77" customFormat="1" ht="4.5" customHeight="1" x14ac:dyDescent="0.25">
      <c r="A3" s="74"/>
      <c r="B3" s="74"/>
      <c r="C3" s="74"/>
      <c r="D3" s="74"/>
      <c r="F3" s="256"/>
      <c r="G3" s="256"/>
      <c r="H3" s="257"/>
      <c r="I3" s="258"/>
      <c r="J3" s="74"/>
      <c r="K3" s="74"/>
      <c r="L3" s="74"/>
      <c r="M3" s="74"/>
      <c r="N3" s="74"/>
      <c r="O3" s="74"/>
      <c r="P3" s="74" t="s">
        <v>1503</v>
      </c>
      <c r="Q3" s="74"/>
      <c r="R3" s="74"/>
      <c r="S3" s="263"/>
      <c r="T3" s="263"/>
      <c r="U3" s="263"/>
      <c r="V3" s="263"/>
      <c r="W3" s="263"/>
      <c r="X3" s="263"/>
      <c r="Y3" s="264"/>
      <c r="Z3" s="264"/>
      <c r="AA3" s="264"/>
      <c r="AB3" s="264"/>
    </row>
    <row r="4" spans="1:30" s="271" customFormat="1" ht="12.75" customHeight="1" thickBot="1" x14ac:dyDescent="0.3">
      <c r="A4" s="268"/>
      <c r="B4" s="268"/>
      <c r="C4" s="268"/>
      <c r="D4" s="268"/>
      <c r="F4" s="288"/>
      <c r="G4" s="288"/>
      <c r="H4" s="289"/>
      <c r="I4" s="290"/>
      <c r="J4" s="268"/>
      <c r="K4" s="268"/>
      <c r="L4" s="268"/>
      <c r="M4" s="268"/>
      <c r="N4" s="268"/>
      <c r="O4" s="268"/>
      <c r="P4" s="268"/>
      <c r="Q4" s="268"/>
      <c r="R4" s="268"/>
      <c r="S4" s="291"/>
      <c r="T4" s="291"/>
      <c r="U4" s="291"/>
      <c r="V4" s="291"/>
      <c r="W4" s="291"/>
      <c r="X4" s="291"/>
      <c r="Y4" s="292"/>
      <c r="Z4" s="292"/>
      <c r="AA4" s="292"/>
      <c r="AB4" s="292"/>
    </row>
    <row r="5" spans="1:30" s="7" customFormat="1" ht="12.75" customHeight="1" thickTop="1" thickBot="1" x14ac:dyDescent="0.3">
      <c r="B5" s="602" t="s">
        <v>1440</v>
      </c>
      <c r="C5" s="602"/>
      <c r="D5" s="602"/>
      <c r="E5" s="93"/>
      <c r="F5" s="575" t="s">
        <v>1890</v>
      </c>
      <c r="G5" s="576"/>
      <c r="H5" s="576"/>
      <c r="I5" s="576"/>
      <c r="J5" s="576"/>
      <c r="K5" s="576"/>
      <c r="L5" s="576"/>
      <c r="M5" s="577"/>
      <c r="O5" s="514"/>
      <c r="P5" s="514"/>
      <c r="Q5" s="514"/>
      <c r="R5" s="514"/>
      <c r="S5" s="514"/>
      <c r="T5" s="514"/>
      <c r="U5" s="514"/>
      <c r="V5" s="514"/>
      <c r="W5" s="514"/>
      <c r="X5" s="514"/>
      <c r="Z5" s="108"/>
    </row>
    <row r="6" spans="1:30" ht="13.5" customHeight="1" thickTop="1" x14ac:dyDescent="0.25">
      <c r="B6" s="602"/>
      <c r="C6" s="602"/>
      <c r="D6" s="602"/>
      <c r="E6" s="293"/>
      <c r="F6" s="600"/>
      <c r="G6" s="713"/>
      <c r="H6" s="713"/>
      <c r="I6" s="713"/>
      <c r="J6" s="713"/>
      <c r="K6" s="713"/>
      <c r="L6" s="713"/>
      <c r="M6" s="601"/>
      <c r="O6" s="514"/>
      <c r="P6" s="514"/>
      <c r="Q6" s="514"/>
      <c r="R6" s="514"/>
      <c r="S6" s="514"/>
      <c r="T6" s="514"/>
      <c r="U6" s="514"/>
      <c r="V6" s="514"/>
      <c r="W6" s="514"/>
      <c r="X6" s="514"/>
      <c r="Y6" s="7"/>
      <c r="Z6" s="108"/>
      <c r="AD6" s="503"/>
    </row>
    <row r="7" spans="1:30" ht="12.75" customHeight="1" x14ac:dyDescent="0.3">
      <c r="B7" s="581" t="s">
        <v>1859</v>
      </c>
      <c r="C7" s="275" t="s">
        <v>1428</v>
      </c>
      <c r="D7" s="56" t="str">
        <f>IF(OR(ISBLANK(VES_VID_IMO),ISERROR(VES_VID_IMO)),"",VES_VID_IMO)</f>
        <v/>
      </c>
      <c r="E7" s="293"/>
      <c r="F7" s="679" t="s">
        <v>1935</v>
      </c>
      <c r="G7" s="680"/>
      <c r="H7" s="737" t="s">
        <v>1499</v>
      </c>
      <c r="I7" s="294" t="s">
        <v>1371</v>
      </c>
      <c r="J7" s="739"/>
      <c r="K7" s="740"/>
      <c r="L7" s="740"/>
      <c r="M7" s="741"/>
      <c r="O7" s="514"/>
      <c r="P7" s="514"/>
      <c r="Q7" s="514"/>
      <c r="R7" s="514"/>
      <c r="S7" s="514"/>
      <c r="T7" s="514"/>
      <c r="U7" s="514"/>
      <c r="V7" s="514"/>
      <c r="W7" s="514"/>
      <c r="X7" s="514"/>
      <c r="Y7" s="7"/>
      <c r="Z7" s="6"/>
      <c r="AD7" s="503"/>
    </row>
    <row r="8" spans="1:30" s="36" customFormat="1" ht="12" customHeight="1" x14ac:dyDescent="0.3">
      <c r="B8" s="581"/>
      <c r="C8" s="276" t="s">
        <v>5</v>
      </c>
      <c r="D8" s="54" t="str">
        <f>IF(OR(ISBLANK(VES_VID_SHIPNAME),ISERROR(VES_VID_SHIPNAME)),"",VES_VID_SHIPNAME)</f>
        <v/>
      </c>
      <c r="E8" s="293"/>
      <c r="F8" s="679"/>
      <c r="G8" s="680"/>
      <c r="H8" s="738"/>
      <c r="I8" s="276" t="s">
        <v>1372</v>
      </c>
      <c r="J8" s="673"/>
      <c r="K8" s="674"/>
      <c r="L8" s="674"/>
      <c r="M8" s="675"/>
      <c r="O8" s="514"/>
      <c r="P8" s="514"/>
      <c r="Q8" s="514"/>
      <c r="R8" s="514"/>
      <c r="S8" s="514"/>
      <c r="T8" s="514"/>
      <c r="U8" s="514"/>
      <c r="V8" s="514"/>
      <c r="W8" s="514"/>
      <c r="X8" s="514"/>
      <c r="Y8" s="514"/>
    </row>
    <row r="9" spans="1:30" s="36" customFormat="1" ht="12.75" customHeight="1" thickBot="1" x14ac:dyDescent="0.35">
      <c r="B9" s="581"/>
      <c r="C9" s="276" t="s">
        <v>680</v>
      </c>
      <c r="D9" s="54" t="str">
        <f>IF(OR(ISBLANK(VES_VID_CALLSIGN),ISERROR(VES_VID_CALLSIGN)),"",VES_VID_CALLSIGN)</f>
        <v/>
      </c>
      <c r="E9" s="293"/>
      <c r="F9" s="681"/>
      <c r="G9" s="682"/>
      <c r="H9" s="345" t="s">
        <v>1910</v>
      </c>
      <c r="I9" s="298" t="s">
        <v>65</v>
      </c>
      <c r="J9" s="676"/>
      <c r="K9" s="677"/>
      <c r="L9" s="677"/>
      <c r="M9" s="678"/>
      <c r="O9" s="514"/>
      <c r="P9" s="514"/>
      <c r="Q9" s="514"/>
      <c r="R9" s="514"/>
      <c r="S9" s="514"/>
      <c r="T9" s="514"/>
      <c r="U9" s="514"/>
      <c r="V9" s="514"/>
      <c r="W9" s="514"/>
      <c r="X9" s="514"/>
      <c r="Y9" s="514"/>
    </row>
    <row r="10" spans="1:30" s="36" customFormat="1" ht="12.75" customHeight="1" thickTop="1" x14ac:dyDescent="0.3">
      <c r="B10" s="582"/>
      <c r="C10" s="295" t="s">
        <v>6</v>
      </c>
      <c r="D10" s="54" t="str">
        <f>IF(OR(ISBLANK(VES_VID_MMSI),ISERROR(VES_VID_MMSI)),"",VES_VID_MMSI)</f>
        <v/>
      </c>
      <c r="E10" s="293"/>
      <c r="F10" s="388"/>
      <c r="G10" s="433"/>
      <c r="H10" s="388"/>
      <c r="I10" s="388"/>
      <c r="J10" s="388"/>
      <c r="K10" s="388"/>
      <c r="L10" s="388"/>
      <c r="M10" s="388"/>
      <c r="O10" s="514"/>
      <c r="P10" s="514"/>
      <c r="Q10" s="514"/>
      <c r="R10" s="514"/>
      <c r="S10" s="514"/>
      <c r="T10" s="514"/>
      <c r="U10" s="514"/>
      <c r="V10" s="514"/>
      <c r="W10" s="514"/>
      <c r="X10" s="514"/>
      <c r="Y10" s="514"/>
    </row>
    <row r="11" spans="1:30" s="36" customFormat="1" ht="13.5" customHeight="1" thickBot="1" x14ac:dyDescent="0.35">
      <c r="B11" s="296"/>
      <c r="C11" s="297" t="s">
        <v>45</v>
      </c>
      <c r="D11" s="55"/>
      <c r="E11" s="293"/>
      <c r="F11" s="388"/>
      <c r="G11" s="433"/>
      <c r="I11" s="388"/>
      <c r="J11" s="388"/>
      <c r="K11" s="388"/>
      <c r="L11" s="388"/>
      <c r="M11" s="388"/>
      <c r="O11" s="9"/>
      <c r="P11" s="514"/>
      <c r="Q11" s="514"/>
      <c r="R11" s="514"/>
      <c r="S11" s="514"/>
      <c r="T11" s="514"/>
      <c r="U11" s="514"/>
      <c r="V11" s="514"/>
      <c r="W11" s="514"/>
      <c r="X11" s="514"/>
      <c r="Y11" s="514"/>
      <c r="Z11" s="152"/>
    </row>
    <row r="12" spans="1:30" s="35" customFormat="1" ht="6.75" customHeight="1" thickTop="1" thickBot="1" x14ac:dyDescent="0.35">
      <c r="B12" s="172"/>
      <c r="C12" s="99"/>
      <c r="D12" s="135"/>
      <c r="E12" s="93"/>
      <c r="H12" s="173"/>
      <c r="J12" s="173"/>
      <c r="K12" s="173"/>
      <c r="L12" s="31"/>
      <c r="O12" s="8"/>
      <c r="P12" s="8"/>
      <c r="Y12" s="174"/>
      <c r="Z12" s="174"/>
      <c r="AA12" s="174"/>
      <c r="AB12" s="174"/>
    </row>
    <row r="13" spans="1:30" ht="13.5" customHeight="1" thickTop="1" thickBot="1" x14ac:dyDescent="0.3">
      <c r="B13" s="602" t="s">
        <v>1891</v>
      </c>
      <c r="C13" s="602"/>
      <c r="D13" s="602"/>
      <c r="F13" s="575" t="s">
        <v>1860</v>
      </c>
      <c r="G13" s="576"/>
      <c r="H13" s="576"/>
      <c r="I13" s="576"/>
      <c r="J13" s="576"/>
      <c r="K13" s="576"/>
      <c r="L13" s="576"/>
      <c r="M13" s="576"/>
      <c r="N13" s="576"/>
      <c r="O13" s="576"/>
      <c r="P13" s="576"/>
      <c r="Q13" s="576"/>
      <c r="R13" s="576"/>
      <c r="S13" s="576"/>
      <c r="T13" s="576"/>
      <c r="U13" s="577"/>
      <c r="W13" s="583" t="s">
        <v>2030</v>
      </c>
      <c r="X13" s="584"/>
      <c r="Y13" s="584"/>
      <c r="Z13" s="584"/>
      <c r="AA13" s="585"/>
    </row>
    <row r="14" spans="1:30" ht="13.5" customHeight="1" thickTop="1" x14ac:dyDescent="0.25">
      <c r="B14" s="602"/>
      <c r="C14" s="602"/>
      <c r="D14" s="602"/>
      <c r="F14" s="600"/>
      <c r="G14" s="713"/>
      <c r="H14" s="713"/>
      <c r="I14" s="713"/>
      <c r="J14" s="713"/>
      <c r="K14" s="713"/>
      <c r="L14" s="713"/>
      <c r="M14" s="713"/>
      <c r="N14" s="713"/>
      <c r="O14" s="713"/>
      <c r="P14" s="713"/>
      <c r="Q14" s="713"/>
      <c r="R14" s="713"/>
      <c r="S14" s="713"/>
      <c r="T14" s="713"/>
      <c r="U14" s="601"/>
      <c r="W14" s="708"/>
      <c r="X14" s="709"/>
      <c r="Y14" s="709"/>
      <c r="Z14" s="709"/>
      <c r="AA14" s="710"/>
    </row>
    <row r="15" spans="1:30" ht="13.5" customHeight="1" x14ac:dyDescent="0.3">
      <c r="B15" s="596" t="s">
        <v>1379</v>
      </c>
      <c r="C15" s="597"/>
      <c r="D15" s="53"/>
      <c r="E15" s="149"/>
      <c r="F15" s="726" t="s">
        <v>1367</v>
      </c>
      <c r="G15" s="727"/>
      <c r="H15" s="728"/>
      <c r="I15" s="631"/>
      <c r="J15" s="631"/>
      <c r="K15" s="631"/>
      <c r="L15" s="631"/>
      <c r="M15" s="717" t="s">
        <v>1368</v>
      </c>
      <c r="N15" s="718"/>
      <c r="O15" s="718"/>
      <c r="P15" s="719"/>
      <c r="Q15" s="631"/>
      <c r="R15" s="631"/>
      <c r="S15" s="631"/>
      <c r="T15" s="631"/>
      <c r="U15" s="631"/>
      <c r="W15" s="587" t="str">
        <f>IF(SUM_SRC_EMAIL&lt;&gt;"",SUM_SRC_EMAIL,"Please set voyage contact email on the summary tab")</f>
        <v>Please set voyage contact email on the summary tab</v>
      </c>
      <c r="X15" s="588"/>
      <c r="Y15" s="588"/>
      <c r="Z15" s="588"/>
      <c r="AA15" s="589"/>
    </row>
    <row r="16" spans="1:30" ht="13.5" customHeight="1" thickBot="1" x14ac:dyDescent="0.35">
      <c r="B16" s="735" t="s">
        <v>1380</v>
      </c>
      <c r="C16" s="736"/>
      <c r="D16" s="518"/>
      <c r="E16" s="149"/>
      <c r="F16" s="703" t="s">
        <v>1366</v>
      </c>
      <c r="G16" s="704"/>
      <c r="H16" s="705"/>
      <c r="I16" s="631"/>
      <c r="J16" s="631"/>
      <c r="K16" s="631"/>
      <c r="L16" s="631"/>
      <c r="M16" s="720" t="s">
        <v>1369</v>
      </c>
      <c r="N16" s="721"/>
      <c r="O16" s="721"/>
      <c r="P16" s="722"/>
      <c r="Q16" s="631"/>
      <c r="R16" s="631"/>
      <c r="S16" s="631"/>
      <c r="T16" s="631"/>
      <c r="U16" s="631"/>
      <c r="W16" s="590"/>
      <c r="X16" s="591"/>
      <c r="Y16" s="591"/>
      <c r="Z16" s="591"/>
      <c r="AA16" s="592"/>
    </row>
    <row r="17" spans="2:30" ht="13.5" customHeight="1" thickTop="1" x14ac:dyDescent="0.3">
      <c r="B17" s="735" t="s">
        <v>58</v>
      </c>
      <c r="C17" s="736"/>
      <c r="D17" s="511"/>
      <c r="E17" s="149"/>
      <c r="F17" s="703" t="s">
        <v>1363</v>
      </c>
      <c r="G17" s="704"/>
      <c r="H17" s="705"/>
      <c r="I17" s="636"/>
      <c r="J17" s="637"/>
      <c r="K17" s="637"/>
      <c r="L17" s="637"/>
      <c r="M17" s="720" t="s">
        <v>1365</v>
      </c>
      <c r="N17" s="721"/>
      <c r="O17" s="721"/>
      <c r="P17" s="722"/>
      <c r="Q17" s="636"/>
      <c r="R17" s="637"/>
      <c r="S17" s="637"/>
      <c r="T17" s="637"/>
      <c r="U17" s="638"/>
      <c r="V17" s="220"/>
      <c r="W17" s="586" t="s">
        <v>2031</v>
      </c>
      <c r="X17" s="586"/>
      <c r="Y17" s="586"/>
      <c r="Z17" s="586"/>
      <c r="AA17" s="586"/>
    </row>
    <row r="18" spans="2:30" ht="13.5" customHeight="1" thickBot="1" x14ac:dyDescent="0.35">
      <c r="B18" s="731" t="s">
        <v>57</v>
      </c>
      <c r="C18" s="732"/>
      <c r="D18" s="225"/>
      <c r="E18" s="149"/>
      <c r="F18" s="700" t="s">
        <v>46</v>
      </c>
      <c r="G18" s="701"/>
      <c r="H18" s="702"/>
      <c r="I18" s="733" t="str">
        <f>IF(OR(ISBLANK(VOY_VOY_ETDFROMPOC),ISERROR(VOY_VOY_ETDFROMPOC)),"",VOY_VOY_ETDFROMPOC)</f>
        <v/>
      </c>
      <c r="J18" s="734"/>
      <c r="K18" s="734"/>
      <c r="L18" s="734"/>
      <c r="M18" s="723" t="s">
        <v>1504</v>
      </c>
      <c r="N18" s="724"/>
      <c r="O18" s="724"/>
      <c r="P18" s="725"/>
      <c r="Q18" s="714" t="str">
        <f>IF(OR(ISBLANK(VOY_VOY_ETATONEXTP),ISERROR(VOY_VOY_ETATONEXTP)),"",VOY_VOY_ETATONEXTP)</f>
        <v/>
      </c>
      <c r="R18" s="715"/>
      <c r="S18" s="715"/>
      <c r="T18" s="715"/>
      <c r="U18" s="716"/>
      <c r="V18" s="220"/>
      <c r="W18" s="220"/>
    </row>
    <row r="19" spans="2:30" s="36" customFormat="1" ht="19.5" customHeight="1" thickTop="1" thickBot="1" x14ac:dyDescent="0.35">
      <c r="B19" s="343" t="s">
        <v>1937</v>
      </c>
      <c r="C19" s="159"/>
      <c r="D19" s="159"/>
      <c r="E19" s="149"/>
      <c r="G19" s="433"/>
      <c r="P19" s="165"/>
      <c r="T19" s="165"/>
      <c r="X19" s="251"/>
    </row>
    <row r="20" spans="2:30" ht="13.5" customHeight="1" thickTop="1" thickBot="1" x14ac:dyDescent="0.3">
      <c r="B20" s="602" t="s">
        <v>1892</v>
      </c>
      <c r="C20" s="602"/>
      <c r="D20" s="602"/>
      <c r="E20" s="602"/>
      <c r="F20" s="602"/>
      <c r="G20" s="602"/>
      <c r="H20" s="602"/>
      <c r="I20" s="602"/>
      <c r="J20" s="602"/>
      <c r="K20" s="602"/>
      <c r="L20" s="602"/>
      <c r="M20" s="602"/>
      <c r="N20" s="602"/>
      <c r="O20" s="602"/>
      <c r="P20" s="602"/>
      <c r="Q20" s="602"/>
      <c r="R20" s="602"/>
      <c r="S20" s="602"/>
      <c r="T20" s="602"/>
      <c r="U20" s="602"/>
      <c r="V20" s="602"/>
      <c r="W20" s="602"/>
      <c r="X20" s="602"/>
      <c r="Y20" s="602"/>
      <c r="AD20" s="132"/>
    </row>
    <row r="21" spans="2:30" ht="12.75" customHeight="1" thickTop="1" x14ac:dyDescent="0.25">
      <c r="B21" s="602"/>
      <c r="C21" s="602"/>
      <c r="D21" s="602"/>
      <c r="E21" s="602"/>
      <c r="F21" s="602"/>
      <c r="G21" s="602"/>
      <c r="H21" s="602"/>
      <c r="I21" s="602"/>
      <c r="J21" s="602"/>
      <c r="K21" s="602"/>
      <c r="L21" s="602"/>
      <c r="M21" s="602"/>
      <c r="N21" s="602"/>
      <c r="O21" s="602"/>
      <c r="P21" s="602"/>
      <c r="Q21" s="602"/>
      <c r="R21" s="602"/>
      <c r="S21" s="602"/>
      <c r="T21" s="602"/>
      <c r="U21" s="602"/>
      <c r="V21" s="602"/>
      <c r="W21" s="602"/>
      <c r="X21" s="602"/>
      <c r="Y21" s="602"/>
      <c r="AD21" s="132"/>
    </row>
    <row r="22" spans="2:30" s="3" customFormat="1" ht="51" customHeight="1" thickBot="1" x14ac:dyDescent="0.3">
      <c r="B22" s="487" t="s">
        <v>1449</v>
      </c>
      <c r="C22" s="647" t="s">
        <v>628</v>
      </c>
      <c r="D22" s="647"/>
      <c r="E22" s="647"/>
      <c r="F22" s="699"/>
      <c r="G22" s="646" t="s">
        <v>2014</v>
      </c>
      <c r="H22" s="647"/>
      <c r="I22" s="648"/>
      <c r="J22" s="481" t="s">
        <v>1872</v>
      </c>
      <c r="K22" s="299" t="s">
        <v>1508</v>
      </c>
      <c r="L22" s="698" t="s">
        <v>1873</v>
      </c>
      <c r="M22" s="699"/>
      <c r="N22" s="485" t="s">
        <v>1508</v>
      </c>
      <c r="O22" s="698" t="s">
        <v>1874</v>
      </c>
      <c r="P22" s="699"/>
      <c r="Q22" s="303" t="s">
        <v>1508</v>
      </c>
      <c r="R22" s="486" t="s">
        <v>1934</v>
      </c>
      <c r="S22" s="646" t="s">
        <v>1373</v>
      </c>
      <c r="T22" s="647"/>
      <c r="U22" s="488" t="s">
        <v>1875</v>
      </c>
      <c r="V22" s="646" t="s">
        <v>1508</v>
      </c>
      <c r="W22" s="690"/>
      <c r="X22" s="646" t="s">
        <v>2015</v>
      </c>
      <c r="Y22" s="690"/>
      <c r="Z22" s="609" t="s">
        <v>2016</v>
      </c>
      <c r="AA22" s="610"/>
      <c r="AB22" s="610"/>
      <c r="AC22" s="610"/>
      <c r="AD22" s="132"/>
    </row>
    <row r="23" spans="2:30" s="435" customFormat="1" ht="13.5" thickTop="1" x14ac:dyDescent="0.25">
      <c r="B23" s="499" t="s">
        <v>591</v>
      </c>
      <c r="C23" s="471"/>
      <c r="D23" s="471"/>
      <c r="E23" s="471"/>
      <c r="F23" s="471"/>
      <c r="G23" s="471"/>
      <c r="H23" s="471"/>
      <c r="I23" s="471"/>
      <c r="J23" s="471"/>
      <c r="K23" s="471"/>
      <c r="L23" s="471"/>
      <c r="M23" s="471"/>
      <c r="N23" s="471"/>
      <c r="O23" s="471"/>
      <c r="P23" s="471"/>
      <c r="Q23" s="471"/>
      <c r="R23" s="471"/>
      <c r="S23" s="471"/>
      <c r="T23" s="471"/>
      <c r="U23" s="471"/>
      <c r="V23" s="471"/>
      <c r="W23" s="471"/>
      <c r="X23" s="650"/>
      <c r="Y23" s="651"/>
      <c r="Z23" s="609"/>
      <c r="AA23" s="610"/>
      <c r="AB23" s="610"/>
      <c r="AC23" s="610"/>
      <c r="AD23" s="132"/>
    </row>
    <row r="24" spans="2:30" s="30" customFormat="1" ht="12.75" customHeight="1" x14ac:dyDescent="0.25">
      <c r="B24" s="454">
        <v>1200</v>
      </c>
      <c r="C24" s="694" t="s">
        <v>1427</v>
      </c>
      <c r="D24" s="694"/>
      <c r="E24" s="694"/>
      <c r="F24" s="695"/>
      <c r="G24" s="619" t="s">
        <v>1964</v>
      </c>
      <c r="H24" s="620"/>
      <c r="I24" s="649"/>
      <c r="J24" s="300">
        <v>0</v>
      </c>
      <c r="K24" s="301" t="s">
        <v>77</v>
      </c>
      <c r="L24" s="696">
        <v>0</v>
      </c>
      <c r="M24" s="664"/>
      <c r="N24" s="302" t="s">
        <v>77</v>
      </c>
      <c r="O24" s="729">
        <v>0</v>
      </c>
      <c r="P24" s="730"/>
      <c r="Q24" s="304" t="s">
        <v>77</v>
      </c>
      <c r="R24" s="235"/>
      <c r="S24" s="631"/>
      <c r="T24" s="631"/>
      <c r="U24" s="459">
        <v>0</v>
      </c>
      <c r="V24" s="658" t="s">
        <v>77</v>
      </c>
      <c r="W24" s="659"/>
      <c r="X24" s="611" t="str">
        <f>IF(Validator!D7&lt;&gt;TRUE,"Amount or Unit missing",IF(AND(J24=0,L24=0,O24=0,U24=0),"Nothing reported","Waste type reported"))</f>
        <v>Nothing reported</v>
      </c>
      <c r="Y24" s="612"/>
      <c r="Z24" s="609"/>
      <c r="AA24" s="610"/>
      <c r="AB24" s="610"/>
      <c r="AC24" s="610"/>
      <c r="AD24" s="132"/>
    </row>
    <row r="25" spans="2:30" s="30" customFormat="1" ht="13.5" customHeight="1" x14ac:dyDescent="0.25">
      <c r="B25" s="454">
        <v>1100</v>
      </c>
      <c r="C25" s="616" t="s">
        <v>1426</v>
      </c>
      <c r="D25" s="616"/>
      <c r="E25" s="616"/>
      <c r="F25" s="693"/>
      <c r="G25" s="622" t="s">
        <v>1964</v>
      </c>
      <c r="H25" s="623"/>
      <c r="I25" s="697"/>
      <c r="J25" s="476">
        <v>0</v>
      </c>
      <c r="K25" s="443" t="s">
        <v>77</v>
      </c>
      <c r="L25" s="634">
        <v>0</v>
      </c>
      <c r="M25" s="635"/>
      <c r="N25" s="475" t="s">
        <v>77</v>
      </c>
      <c r="O25" s="634">
        <v>0</v>
      </c>
      <c r="P25" s="635"/>
      <c r="Q25" s="444" t="s">
        <v>77</v>
      </c>
      <c r="R25" s="445"/>
      <c r="S25" s="631"/>
      <c r="T25" s="631"/>
      <c r="U25" s="460">
        <v>0</v>
      </c>
      <c r="V25" s="656" t="s">
        <v>77</v>
      </c>
      <c r="W25" s="657"/>
      <c r="X25" s="611" t="str">
        <f>IF(Validator!D8&lt;&gt;TRUE,"Amount or Unit missing",IF(AND(J25=0,L25=0,O25=0,U25=0),"Nothing reported","Waste type reported"))</f>
        <v>Nothing reported</v>
      </c>
      <c r="Y25" s="612"/>
      <c r="Z25" s="609"/>
      <c r="AA25" s="610"/>
      <c r="AB25" s="610"/>
      <c r="AC25" s="610"/>
      <c r="AD25" s="132"/>
    </row>
    <row r="26" spans="2:30" s="30" customFormat="1" ht="12.75" customHeight="1" x14ac:dyDescent="0.25">
      <c r="B26" s="454">
        <v>1301</v>
      </c>
      <c r="C26" s="694" t="s">
        <v>599</v>
      </c>
      <c r="D26" s="694"/>
      <c r="E26" s="694"/>
      <c r="F26" s="695"/>
      <c r="G26" s="619" t="s">
        <v>1964</v>
      </c>
      <c r="H26" s="620"/>
      <c r="I26" s="649"/>
      <c r="J26" s="300">
        <v>0</v>
      </c>
      <c r="K26" s="301" t="s">
        <v>77</v>
      </c>
      <c r="L26" s="696">
        <v>0</v>
      </c>
      <c r="M26" s="664"/>
      <c r="N26" s="302" t="s">
        <v>77</v>
      </c>
      <c r="O26" s="696">
        <v>0</v>
      </c>
      <c r="P26" s="664"/>
      <c r="Q26" s="305" t="s">
        <v>77</v>
      </c>
      <c r="R26" s="236"/>
      <c r="S26" s="631"/>
      <c r="T26" s="631"/>
      <c r="U26" s="459">
        <v>0</v>
      </c>
      <c r="V26" s="658" t="s">
        <v>77</v>
      </c>
      <c r="W26" s="659"/>
      <c r="X26" s="611" t="str">
        <f>IF(Validator!D9&lt;&gt;TRUE,"Amount or Unit missing",IF(AND(J26=0,L26=0,O26=0,U26=0),"Nothing reported","Waste type reported"))</f>
        <v>Nothing reported</v>
      </c>
      <c r="Y26" s="612"/>
      <c r="Z26" s="609"/>
      <c r="AA26" s="610"/>
      <c r="AB26" s="610"/>
      <c r="AC26" s="610"/>
      <c r="AD26" s="496"/>
    </row>
    <row r="27" spans="2:30" s="30" customFormat="1" ht="12.75" customHeight="1" thickBot="1" x14ac:dyDescent="0.3">
      <c r="B27" s="454">
        <v>1300</v>
      </c>
      <c r="C27" s="644" t="s">
        <v>1399</v>
      </c>
      <c r="D27" s="644"/>
      <c r="E27" s="644"/>
      <c r="F27" s="645"/>
      <c r="G27" s="641"/>
      <c r="H27" s="642"/>
      <c r="I27" s="643"/>
      <c r="J27" s="476">
        <v>0</v>
      </c>
      <c r="K27" s="443" t="s">
        <v>77</v>
      </c>
      <c r="L27" s="691">
        <v>0</v>
      </c>
      <c r="M27" s="692"/>
      <c r="N27" s="475" t="s">
        <v>77</v>
      </c>
      <c r="O27" s="691">
        <v>0</v>
      </c>
      <c r="P27" s="692"/>
      <c r="Q27" s="443" t="s">
        <v>77</v>
      </c>
      <c r="R27" s="445"/>
      <c r="S27" s="631"/>
      <c r="T27" s="631"/>
      <c r="U27" s="461">
        <v>0</v>
      </c>
      <c r="V27" s="706" t="s">
        <v>77</v>
      </c>
      <c r="W27" s="707"/>
      <c r="X27" s="611" t="str">
        <f>IF(Validator!D10&lt;&gt;TRUE,"Amount or Unit missing",IF(AND(J27=0,L27=0,O27=0,U27=0),"Nothing reported","Waste type reported"))</f>
        <v>Nothing reported</v>
      </c>
      <c r="Y27" s="612"/>
      <c r="Z27" s="711" t="s">
        <v>1901</v>
      </c>
      <c r="AA27" s="712"/>
      <c r="AB27" s="712"/>
      <c r="AC27" s="712"/>
      <c r="AD27" s="496"/>
    </row>
    <row r="28" spans="2:30" s="30" customFormat="1" ht="13.5" thickTop="1" x14ac:dyDescent="0.25">
      <c r="B28" s="499" t="s">
        <v>593</v>
      </c>
      <c r="C28" s="471"/>
      <c r="D28" s="471"/>
      <c r="E28" s="471"/>
      <c r="F28" s="471"/>
      <c r="G28" s="472"/>
      <c r="H28" s="471"/>
      <c r="I28" s="471"/>
      <c r="J28" s="471"/>
      <c r="K28" s="471"/>
      <c r="L28" s="471"/>
      <c r="M28" s="471"/>
      <c r="N28" s="471"/>
      <c r="O28" s="471"/>
      <c r="P28" s="471"/>
      <c r="Q28" s="471"/>
      <c r="R28" s="471"/>
      <c r="S28" s="471"/>
      <c r="T28" s="471"/>
      <c r="U28" s="471"/>
      <c r="V28" s="471"/>
      <c r="W28" s="473"/>
      <c r="X28" s="611"/>
      <c r="Y28" s="612"/>
      <c r="Z28" s="711"/>
      <c r="AA28" s="712"/>
      <c r="AB28" s="712"/>
      <c r="AC28" s="712"/>
      <c r="AD28" s="496"/>
    </row>
    <row r="29" spans="2:30" s="30" customFormat="1" ht="13.5" thickBot="1" x14ac:dyDescent="0.3">
      <c r="B29" s="455">
        <v>3000</v>
      </c>
      <c r="C29" s="685" t="s">
        <v>593</v>
      </c>
      <c r="D29" s="685"/>
      <c r="E29" s="685"/>
      <c r="F29" s="686"/>
      <c r="G29" s="687"/>
      <c r="H29" s="688"/>
      <c r="I29" s="689"/>
      <c r="J29" s="482">
        <v>0</v>
      </c>
      <c r="K29" s="440" t="s">
        <v>77</v>
      </c>
      <c r="L29" s="639">
        <v>0</v>
      </c>
      <c r="M29" s="640"/>
      <c r="N29" s="441" t="s">
        <v>77</v>
      </c>
      <c r="O29" s="639">
        <v>0</v>
      </c>
      <c r="P29" s="640"/>
      <c r="Q29" s="440" t="s">
        <v>77</v>
      </c>
      <c r="R29" s="442"/>
      <c r="S29" s="631"/>
      <c r="T29" s="631"/>
      <c r="U29" s="482">
        <v>0</v>
      </c>
      <c r="V29" s="683" t="s">
        <v>77</v>
      </c>
      <c r="W29" s="684"/>
      <c r="X29" s="611" t="str">
        <f>IF(Validator!D11&lt;&gt;TRUE,"Amount or Unit missing",IF(AND(J29=0,L29=0,O29=0,U29=0),"Nothing reported","Waste type reported"))</f>
        <v>Nothing reported</v>
      </c>
      <c r="Y29" s="612"/>
      <c r="Z29" s="711"/>
      <c r="AA29" s="712"/>
      <c r="AB29" s="712"/>
      <c r="AC29" s="712"/>
      <c r="AD29" s="496"/>
    </row>
    <row r="30" spans="2:30" s="30" customFormat="1" ht="13.5" thickTop="1" x14ac:dyDescent="0.25">
      <c r="B30" s="499" t="s">
        <v>592</v>
      </c>
      <c r="C30" s="471"/>
      <c r="D30" s="471"/>
      <c r="E30" s="471"/>
      <c r="F30" s="471"/>
      <c r="G30" s="472"/>
      <c r="H30" s="471"/>
      <c r="I30" s="471"/>
      <c r="J30" s="471"/>
      <c r="K30" s="471"/>
      <c r="L30" s="471"/>
      <c r="M30" s="471"/>
      <c r="N30" s="471"/>
      <c r="O30" s="471"/>
      <c r="P30" s="471"/>
      <c r="Q30" s="471"/>
      <c r="R30" s="471"/>
      <c r="S30" s="471"/>
      <c r="T30" s="471"/>
      <c r="U30" s="471"/>
      <c r="V30" s="471"/>
      <c r="W30" s="473"/>
      <c r="X30" s="611"/>
      <c r="Y30" s="612"/>
      <c r="Z30" s="711"/>
      <c r="AA30" s="712"/>
      <c r="AB30" s="712"/>
      <c r="AC30" s="712"/>
      <c r="AD30" s="496"/>
    </row>
    <row r="31" spans="2:30" s="30" customFormat="1" ht="12.75" customHeight="1" x14ac:dyDescent="0.25">
      <c r="B31" s="453">
        <v>2100</v>
      </c>
      <c r="C31" s="616" t="s">
        <v>595</v>
      </c>
      <c r="D31" s="616"/>
      <c r="E31" s="616"/>
      <c r="F31" s="616"/>
      <c r="G31" s="622" t="s">
        <v>1964</v>
      </c>
      <c r="H31" s="623"/>
      <c r="I31" s="624"/>
      <c r="J31" s="477">
        <v>0</v>
      </c>
      <c r="K31" s="446" t="s">
        <v>77</v>
      </c>
      <c r="L31" s="632">
        <v>0</v>
      </c>
      <c r="M31" s="633"/>
      <c r="N31" s="447" t="s">
        <v>77</v>
      </c>
      <c r="O31" s="632">
        <v>0</v>
      </c>
      <c r="P31" s="633"/>
      <c r="Q31" s="446" t="s">
        <v>77</v>
      </c>
      <c r="R31" s="448"/>
      <c r="S31" s="631"/>
      <c r="T31" s="631"/>
      <c r="U31" s="477">
        <v>0</v>
      </c>
      <c r="V31" s="629" t="s">
        <v>77</v>
      </c>
      <c r="W31" s="630"/>
      <c r="X31" s="611" t="str">
        <f>IF(Validator!D12&lt;&gt;TRUE,"Amount or Unit missing",IF(AND(J31=0,L31=0,O31=0,U31=0),"Nothing reported","Waste type reported"))</f>
        <v>Nothing reported</v>
      </c>
      <c r="Y31" s="612"/>
      <c r="Z31" s="711"/>
      <c r="AA31" s="712"/>
      <c r="AB31" s="712"/>
      <c r="AC31" s="712"/>
      <c r="AD31" s="496"/>
    </row>
    <row r="32" spans="2:30" s="30" customFormat="1" ht="12.75" customHeight="1" x14ac:dyDescent="0.25">
      <c r="B32" s="453">
        <v>2301</v>
      </c>
      <c r="C32" s="615" t="s">
        <v>600</v>
      </c>
      <c r="D32" s="615"/>
      <c r="E32" s="615"/>
      <c r="F32" s="615"/>
      <c r="G32" s="619" t="s">
        <v>1964</v>
      </c>
      <c r="H32" s="620"/>
      <c r="I32" s="621"/>
      <c r="J32" s="474">
        <v>0</v>
      </c>
      <c r="K32" s="437" t="s">
        <v>77</v>
      </c>
      <c r="L32" s="625">
        <v>0</v>
      </c>
      <c r="M32" s="626"/>
      <c r="N32" s="438" t="s">
        <v>77</v>
      </c>
      <c r="O32" s="625">
        <v>0</v>
      </c>
      <c r="P32" s="626"/>
      <c r="Q32" s="437" t="s">
        <v>77</v>
      </c>
      <c r="R32" s="439"/>
      <c r="S32" s="631"/>
      <c r="T32" s="631"/>
      <c r="U32" s="474">
        <v>0</v>
      </c>
      <c r="V32" s="617" t="s">
        <v>77</v>
      </c>
      <c r="W32" s="618"/>
      <c r="X32" s="611" t="str">
        <f>IF(Validator!D13&lt;&gt;TRUE,"Amount or Unit missing",IF(AND(J32=0,L32=0,O32=0,U32=0),"Nothing reported","Waste type reported"))</f>
        <v>Nothing reported</v>
      </c>
      <c r="Y32" s="612"/>
      <c r="Z32" s="711"/>
      <c r="AA32" s="712"/>
      <c r="AB32" s="712"/>
      <c r="AC32" s="712"/>
      <c r="AD32" s="496"/>
    </row>
    <row r="33" spans="2:30" s="30" customFormat="1" ht="12.75" customHeight="1" x14ac:dyDescent="0.25">
      <c r="B33" s="453">
        <v>2200</v>
      </c>
      <c r="C33" s="616" t="s">
        <v>596</v>
      </c>
      <c r="D33" s="616"/>
      <c r="E33" s="616"/>
      <c r="F33" s="616"/>
      <c r="G33" s="622" t="s">
        <v>1964</v>
      </c>
      <c r="H33" s="623"/>
      <c r="I33" s="624"/>
      <c r="J33" s="478">
        <v>0</v>
      </c>
      <c r="K33" s="449" t="s">
        <v>77</v>
      </c>
      <c r="L33" s="627">
        <v>0</v>
      </c>
      <c r="M33" s="628"/>
      <c r="N33" s="450" t="s">
        <v>77</v>
      </c>
      <c r="O33" s="627">
        <v>0</v>
      </c>
      <c r="P33" s="628"/>
      <c r="Q33" s="449" t="s">
        <v>77</v>
      </c>
      <c r="R33" s="451"/>
      <c r="S33" s="631"/>
      <c r="T33" s="631"/>
      <c r="U33" s="478">
        <v>0</v>
      </c>
      <c r="V33" s="629" t="s">
        <v>77</v>
      </c>
      <c r="W33" s="630"/>
      <c r="X33" s="611" t="str">
        <f>IF(Validator!D14&lt;&gt;TRUE,"Amount or Unit missing",IF(AND(J33=0,L33=0,O33=0,U33=0),"Nothing reported","Waste type reported"))</f>
        <v>Nothing reported</v>
      </c>
      <c r="Y33" s="612"/>
      <c r="Z33" s="711"/>
      <c r="AA33" s="712"/>
      <c r="AB33" s="712"/>
      <c r="AC33" s="712"/>
      <c r="AD33" s="496"/>
    </row>
    <row r="34" spans="2:30" s="30" customFormat="1" ht="12.75" customHeight="1" x14ac:dyDescent="0.25">
      <c r="B34" s="453">
        <v>2302</v>
      </c>
      <c r="C34" s="615" t="s">
        <v>602</v>
      </c>
      <c r="D34" s="615"/>
      <c r="E34" s="615"/>
      <c r="F34" s="615"/>
      <c r="G34" s="619" t="s">
        <v>1964</v>
      </c>
      <c r="H34" s="620"/>
      <c r="I34" s="621"/>
      <c r="J34" s="474">
        <v>0</v>
      </c>
      <c r="K34" s="437" t="s">
        <v>77</v>
      </c>
      <c r="L34" s="625">
        <v>0</v>
      </c>
      <c r="M34" s="626"/>
      <c r="N34" s="438" t="s">
        <v>77</v>
      </c>
      <c r="O34" s="625">
        <v>0</v>
      </c>
      <c r="P34" s="626"/>
      <c r="Q34" s="437" t="s">
        <v>77</v>
      </c>
      <c r="R34" s="439"/>
      <c r="S34" s="631"/>
      <c r="T34" s="631"/>
      <c r="U34" s="474">
        <v>0</v>
      </c>
      <c r="V34" s="617" t="s">
        <v>77</v>
      </c>
      <c r="W34" s="618"/>
      <c r="X34" s="611" t="str">
        <f>IF(Validator!D15&lt;&gt;TRUE,"Amount or Unit missing",IF(AND(J34=0,L34=0,O34=0,U34=0),"Nothing reported","Waste type reported"))</f>
        <v>Nothing reported</v>
      </c>
      <c r="Y34" s="612"/>
      <c r="Z34" s="711"/>
      <c r="AA34" s="712"/>
      <c r="AB34" s="712"/>
      <c r="AC34" s="712"/>
      <c r="AD34" s="496"/>
    </row>
    <row r="35" spans="2:30" s="30" customFormat="1" ht="12.75" customHeight="1" x14ac:dyDescent="0.25">
      <c r="B35" s="453">
        <v>2303</v>
      </c>
      <c r="C35" s="616" t="s">
        <v>604</v>
      </c>
      <c r="D35" s="616"/>
      <c r="E35" s="616"/>
      <c r="F35" s="616"/>
      <c r="G35" s="622" t="s">
        <v>1964</v>
      </c>
      <c r="H35" s="623"/>
      <c r="I35" s="624"/>
      <c r="J35" s="478">
        <v>0</v>
      </c>
      <c r="K35" s="449" t="s">
        <v>77</v>
      </c>
      <c r="L35" s="627">
        <v>0</v>
      </c>
      <c r="M35" s="628"/>
      <c r="N35" s="450" t="s">
        <v>77</v>
      </c>
      <c r="O35" s="627">
        <v>0</v>
      </c>
      <c r="P35" s="628"/>
      <c r="Q35" s="449" t="s">
        <v>77</v>
      </c>
      <c r="R35" s="451"/>
      <c r="S35" s="631"/>
      <c r="T35" s="631"/>
      <c r="U35" s="478">
        <v>0</v>
      </c>
      <c r="V35" s="629" t="s">
        <v>77</v>
      </c>
      <c r="W35" s="630"/>
      <c r="X35" s="611" t="str">
        <f>IF(Validator!D16&lt;&gt;TRUE,"Amount or Unit missing",IF(AND(J35=0,L35=0,O35=0,U35=0),"Nothing reported","Waste type reported"))</f>
        <v>Nothing reported</v>
      </c>
      <c r="Y35" s="612"/>
      <c r="Z35" s="711"/>
      <c r="AA35" s="712"/>
      <c r="AB35" s="712"/>
      <c r="AC35" s="712"/>
      <c r="AD35" s="496"/>
    </row>
    <row r="36" spans="2:30" s="30" customFormat="1" ht="13" x14ac:dyDescent="0.25">
      <c r="B36" s="453">
        <v>2304</v>
      </c>
      <c r="C36" s="615" t="s">
        <v>605</v>
      </c>
      <c r="D36" s="615"/>
      <c r="E36" s="615"/>
      <c r="F36" s="615"/>
      <c r="G36" s="619" t="s">
        <v>1964</v>
      </c>
      <c r="H36" s="620"/>
      <c r="I36" s="621"/>
      <c r="J36" s="474">
        <v>0</v>
      </c>
      <c r="K36" s="437" t="s">
        <v>77</v>
      </c>
      <c r="L36" s="625">
        <v>0</v>
      </c>
      <c r="M36" s="626"/>
      <c r="N36" s="438" t="s">
        <v>77</v>
      </c>
      <c r="O36" s="625">
        <v>0</v>
      </c>
      <c r="P36" s="626"/>
      <c r="Q36" s="437" t="s">
        <v>77</v>
      </c>
      <c r="R36" s="439"/>
      <c r="S36" s="631"/>
      <c r="T36" s="631"/>
      <c r="U36" s="474">
        <v>0</v>
      </c>
      <c r="V36" s="617" t="s">
        <v>77</v>
      </c>
      <c r="W36" s="618"/>
      <c r="X36" s="611" t="str">
        <f>IF(Validator!D17&lt;&gt;TRUE,"Amount or Unit missing",IF(AND(J36=0,L36=0,O36=0,U36=0),"Nothing reported","Waste type reported"))</f>
        <v>Nothing reported</v>
      </c>
      <c r="Y36" s="612"/>
      <c r="Z36" s="711"/>
      <c r="AA36" s="712"/>
      <c r="AB36" s="712"/>
      <c r="AC36" s="712"/>
      <c r="AD36" s="496"/>
    </row>
    <row r="37" spans="2:30" s="30" customFormat="1" ht="13" x14ac:dyDescent="0.25">
      <c r="B37" s="453">
        <v>2305</v>
      </c>
      <c r="C37" s="616" t="s">
        <v>607</v>
      </c>
      <c r="D37" s="616"/>
      <c r="E37" s="616"/>
      <c r="F37" s="616"/>
      <c r="G37" s="622" t="s">
        <v>1964</v>
      </c>
      <c r="H37" s="623"/>
      <c r="I37" s="624"/>
      <c r="J37" s="478">
        <v>0</v>
      </c>
      <c r="K37" s="449" t="s">
        <v>77</v>
      </c>
      <c r="L37" s="627">
        <v>0</v>
      </c>
      <c r="M37" s="628"/>
      <c r="N37" s="450" t="s">
        <v>77</v>
      </c>
      <c r="O37" s="627">
        <v>0</v>
      </c>
      <c r="P37" s="628"/>
      <c r="Q37" s="449" t="s">
        <v>77</v>
      </c>
      <c r="R37" s="451"/>
      <c r="S37" s="631"/>
      <c r="T37" s="631"/>
      <c r="U37" s="478">
        <v>0</v>
      </c>
      <c r="V37" s="629" t="s">
        <v>77</v>
      </c>
      <c r="W37" s="630"/>
      <c r="X37" s="611" t="str">
        <f>IF(Validator!D18&lt;&gt;TRUE,"Amount or Unit missing",IF(AND(J37=0,L37=0,O37=0,U37=0),"Nothing reported","Waste type reported"))</f>
        <v>Nothing reported</v>
      </c>
      <c r="Y37" s="612"/>
      <c r="Z37" s="609" t="s">
        <v>1422</v>
      </c>
      <c r="AA37" s="610"/>
      <c r="AB37" s="610"/>
      <c r="AC37" s="610"/>
      <c r="AD37" s="496"/>
    </row>
    <row r="38" spans="2:30" s="30" customFormat="1" ht="13" x14ac:dyDescent="0.25">
      <c r="B38" s="453">
        <v>2306</v>
      </c>
      <c r="C38" s="614" t="s">
        <v>609</v>
      </c>
      <c r="D38" s="614"/>
      <c r="E38" s="614"/>
      <c r="F38" s="614"/>
      <c r="G38" s="619" t="s">
        <v>1964</v>
      </c>
      <c r="H38" s="620"/>
      <c r="I38" s="621"/>
      <c r="J38" s="474">
        <v>0</v>
      </c>
      <c r="K38" s="437" t="s">
        <v>77</v>
      </c>
      <c r="L38" s="625">
        <v>0</v>
      </c>
      <c r="M38" s="626"/>
      <c r="N38" s="438" t="s">
        <v>77</v>
      </c>
      <c r="O38" s="625">
        <v>0</v>
      </c>
      <c r="P38" s="626"/>
      <c r="Q38" s="437" t="s">
        <v>77</v>
      </c>
      <c r="R38" s="439"/>
      <c r="S38" s="631"/>
      <c r="T38" s="631"/>
      <c r="U38" s="474">
        <v>0</v>
      </c>
      <c r="V38" s="617" t="s">
        <v>77</v>
      </c>
      <c r="W38" s="618"/>
      <c r="X38" s="611" t="str">
        <f>IF(Validator!D19&lt;&gt;TRUE,"Amount or Unit missing",IF(AND(J38=0,L38=0,O38=0,U38=0),"Nothing reported","Waste type reported"))</f>
        <v>Nothing reported</v>
      </c>
      <c r="Y38" s="612"/>
      <c r="Z38" s="609"/>
      <c r="AA38" s="610"/>
      <c r="AB38" s="610"/>
      <c r="AC38" s="610"/>
      <c r="AD38" s="496"/>
    </row>
    <row r="39" spans="2:30" s="30" customFormat="1" ht="13" x14ac:dyDescent="0.25">
      <c r="B39" s="453">
        <v>2307</v>
      </c>
      <c r="C39" s="613" t="s">
        <v>610</v>
      </c>
      <c r="D39" s="613"/>
      <c r="E39" s="613"/>
      <c r="F39" s="613"/>
      <c r="G39" s="622" t="s">
        <v>1964</v>
      </c>
      <c r="H39" s="623"/>
      <c r="I39" s="624"/>
      <c r="J39" s="478">
        <v>0</v>
      </c>
      <c r="K39" s="449" t="s">
        <v>77</v>
      </c>
      <c r="L39" s="627">
        <v>0</v>
      </c>
      <c r="M39" s="628"/>
      <c r="N39" s="450" t="s">
        <v>77</v>
      </c>
      <c r="O39" s="627">
        <v>0</v>
      </c>
      <c r="P39" s="628"/>
      <c r="Q39" s="449" t="s">
        <v>77</v>
      </c>
      <c r="R39" s="451"/>
      <c r="S39" s="631"/>
      <c r="T39" s="631"/>
      <c r="U39" s="478">
        <v>0</v>
      </c>
      <c r="V39" s="629" t="s">
        <v>77</v>
      </c>
      <c r="W39" s="630"/>
      <c r="X39" s="611" t="str">
        <f>IF(Validator!D20&lt;&gt;TRUE,"Amount or Unit missing",IF(AND(J39=0,L39=0,O39=0,U39=0),"Nothing reported","Waste type reported"))</f>
        <v>Nothing reported</v>
      </c>
      <c r="Y39" s="612"/>
      <c r="Z39" s="609"/>
      <c r="AA39" s="610"/>
      <c r="AB39" s="610"/>
      <c r="AC39" s="610"/>
      <c r="AD39" s="496"/>
    </row>
    <row r="40" spans="2:30" s="30" customFormat="1" ht="12.75" customHeight="1" x14ac:dyDescent="0.25">
      <c r="B40" s="453">
        <v>2308</v>
      </c>
      <c r="C40" s="614" t="s">
        <v>612</v>
      </c>
      <c r="D40" s="614"/>
      <c r="E40" s="614"/>
      <c r="F40" s="614"/>
      <c r="G40" s="619" t="s">
        <v>1964</v>
      </c>
      <c r="H40" s="620"/>
      <c r="I40" s="621"/>
      <c r="J40" s="474">
        <v>0</v>
      </c>
      <c r="K40" s="437" t="s">
        <v>77</v>
      </c>
      <c r="L40" s="625">
        <v>0</v>
      </c>
      <c r="M40" s="626"/>
      <c r="N40" s="438" t="s">
        <v>77</v>
      </c>
      <c r="O40" s="625">
        <v>0</v>
      </c>
      <c r="P40" s="626"/>
      <c r="Q40" s="437" t="s">
        <v>77</v>
      </c>
      <c r="R40" s="439"/>
      <c r="S40" s="631"/>
      <c r="T40" s="631"/>
      <c r="U40" s="474">
        <v>0</v>
      </c>
      <c r="V40" s="617" t="s">
        <v>77</v>
      </c>
      <c r="W40" s="618"/>
      <c r="X40" s="611" t="str">
        <f>IF(Validator!D21&lt;&gt;TRUE,"Amount or Unit missing",IF(AND(J40=0,L40=0,O40=0,U40=0),"Nothing reported","Waste type reported"))</f>
        <v>Nothing reported</v>
      </c>
      <c r="Y40" s="612"/>
      <c r="Z40" s="609"/>
      <c r="AA40" s="610"/>
      <c r="AB40" s="610"/>
      <c r="AC40" s="610"/>
      <c r="AD40" s="496"/>
    </row>
    <row r="41" spans="2:30" s="30" customFormat="1" ht="12.75" customHeight="1" x14ac:dyDescent="0.25">
      <c r="B41" s="453">
        <v>2309</v>
      </c>
      <c r="C41" s="613" t="s">
        <v>614</v>
      </c>
      <c r="D41" s="613"/>
      <c r="E41" s="613"/>
      <c r="F41" s="613"/>
      <c r="G41" s="622" t="s">
        <v>1964</v>
      </c>
      <c r="H41" s="623"/>
      <c r="I41" s="624"/>
      <c r="J41" s="478">
        <v>0</v>
      </c>
      <c r="K41" s="449" t="s">
        <v>77</v>
      </c>
      <c r="L41" s="627">
        <v>0</v>
      </c>
      <c r="M41" s="628"/>
      <c r="N41" s="450" t="s">
        <v>77</v>
      </c>
      <c r="O41" s="627">
        <v>0</v>
      </c>
      <c r="P41" s="628"/>
      <c r="Q41" s="449" t="s">
        <v>77</v>
      </c>
      <c r="R41" s="451"/>
      <c r="S41" s="631"/>
      <c r="T41" s="631"/>
      <c r="U41" s="478">
        <v>0</v>
      </c>
      <c r="V41" s="629" t="s">
        <v>77</v>
      </c>
      <c r="W41" s="630"/>
      <c r="X41" s="611" t="str">
        <f>IF(Validator!D22&lt;&gt;TRUE,"Amount or Unit missing",IF(AND(J41=0,L41=0,O41=0,U41=0),"Nothing reported","Waste type reported"))</f>
        <v>Nothing reported</v>
      </c>
      <c r="Y41" s="612"/>
      <c r="Z41" s="609"/>
      <c r="AA41" s="610"/>
      <c r="AB41" s="610"/>
      <c r="AC41" s="610"/>
      <c r="AD41" s="496"/>
    </row>
    <row r="42" spans="2:30" s="30" customFormat="1" ht="25.5" customHeight="1" x14ac:dyDescent="0.25">
      <c r="B42" s="453">
        <v>2310</v>
      </c>
      <c r="C42" s="614" t="s">
        <v>1403</v>
      </c>
      <c r="D42" s="614"/>
      <c r="E42" s="614"/>
      <c r="F42" s="614"/>
      <c r="G42" s="687"/>
      <c r="H42" s="688"/>
      <c r="I42" s="689"/>
      <c r="J42" s="474">
        <v>0</v>
      </c>
      <c r="K42" s="437" t="s">
        <v>77</v>
      </c>
      <c r="L42" s="625">
        <v>0</v>
      </c>
      <c r="M42" s="626"/>
      <c r="N42" s="438" t="s">
        <v>77</v>
      </c>
      <c r="O42" s="625">
        <v>0</v>
      </c>
      <c r="P42" s="626"/>
      <c r="Q42" s="437" t="s">
        <v>77</v>
      </c>
      <c r="R42" s="439"/>
      <c r="S42" s="631"/>
      <c r="T42" s="631"/>
      <c r="U42" s="474">
        <v>0</v>
      </c>
      <c r="V42" s="617" t="s">
        <v>77</v>
      </c>
      <c r="W42" s="618"/>
      <c r="X42" s="611" t="str">
        <f>IF(Validator!D23&lt;&gt;TRUE,"Amount or Unit missing",IF(AND(J42=0,L42=0,O42=0,U42=0),"Nothing reported","Waste type reported"))</f>
        <v>Nothing reported</v>
      </c>
      <c r="Y42" s="612"/>
      <c r="Z42" s="609"/>
      <c r="AA42" s="610"/>
      <c r="AB42" s="610"/>
      <c r="AC42" s="610"/>
    </row>
    <row r="43" spans="2:30" s="30" customFormat="1" ht="12.75" customHeight="1" x14ac:dyDescent="0.25">
      <c r="B43" s="453">
        <v>2311</v>
      </c>
      <c r="C43" s="613" t="s">
        <v>617</v>
      </c>
      <c r="D43" s="613"/>
      <c r="E43" s="613"/>
      <c r="F43" s="613"/>
      <c r="G43" s="622" t="s">
        <v>1964</v>
      </c>
      <c r="H43" s="623"/>
      <c r="I43" s="624"/>
      <c r="J43" s="478">
        <v>0</v>
      </c>
      <c r="K43" s="449" t="s">
        <v>77</v>
      </c>
      <c r="L43" s="627">
        <v>0</v>
      </c>
      <c r="M43" s="628"/>
      <c r="N43" s="450" t="s">
        <v>77</v>
      </c>
      <c r="O43" s="627">
        <v>0</v>
      </c>
      <c r="P43" s="628"/>
      <c r="Q43" s="449" t="s">
        <v>77</v>
      </c>
      <c r="R43" s="451"/>
      <c r="S43" s="631"/>
      <c r="T43" s="631"/>
      <c r="U43" s="478">
        <v>0</v>
      </c>
      <c r="V43" s="629" t="s">
        <v>77</v>
      </c>
      <c r="W43" s="630"/>
      <c r="X43" s="611" t="str">
        <f>IF(Validator!D24&lt;&gt;TRUE,"Amount or Unit missing",IF(AND(J43=0,L43=0,O43=0,U43=0),"Nothing reported","Waste type reported"))</f>
        <v>Nothing reported</v>
      </c>
      <c r="Y43" s="612"/>
      <c r="Z43" s="609"/>
      <c r="AA43" s="610"/>
      <c r="AB43" s="610"/>
      <c r="AC43" s="610"/>
    </row>
    <row r="44" spans="2:30" s="30" customFormat="1" ht="26.25" customHeight="1" x14ac:dyDescent="0.25">
      <c r="B44" s="453">
        <v>2312</v>
      </c>
      <c r="C44" s="614" t="s">
        <v>618</v>
      </c>
      <c r="D44" s="614"/>
      <c r="E44" s="614"/>
      <c r="F44" s="614"/>
      <c r="G44" s="619" t="s">
        <v>1964</v>
      </c>
      <c r="H44" s="620"/>
      <c r="I44" s="621"/>
      <c r="J44" s="474">
        <v>0</v>
      </c>
      <c r="K44" s="437" t="s">
        <v>77</v>
      </c>
      <c r="L44" s="625">
        <v>0</v>
      </c>
      <c r="M44" s="626"/>
      <c r="N44" s="438" t="s">
        <v>77</v>
      </c>
      <c r="O44" s="625">
        <v>0</v>
      </c>
      <c r="P44" s="626"/>
      <c r="Q44" s="437" t="s">
        <v>77</v>
      </c>
      <c r="R44" s="439"/>
      <c r="S44" s="631"/>
      <c r="T44" s="631"/>
      <c r="U44" s="474">
        <v>0</v>
      </c>
      <c r="V44" s="617" t="s">
        <v>77</v>
      </c>
      <c r="W44" s="618"/>
      <c r="X44" s="611" t="str">
        <f>IF(Validator!D25&lt;&gt;TRUE,"Amount or Unit missing",IF(AND(J44=0,L44=0,O44=0,U44=0),"Nothing reported","Waste type reported"))</f>
        <v>Nothing reported</v>
      </c>
      <c r="Y44" s="612"/>
      <c r="Z44" s="609"/>
      <c r="AA44" s="610"/>
      <c r="AB44" s="610"/>
      <c r="AC44" s="610"/>
    </row>
    <row r="45" spans="2:30" s="30" customFormat="1" ht="13.5" customHeight="1" x14ac:dyDescent="0.25">
      <c r="B45" s="453">
        <v>2300</v>
      </c>
      <c r="C45" s="613" t="s">
        <v>1398</v>
      </c>
      <c r="D45" s="613"/>
      <c r="E45" s="613"/>
      <c r="F45" s="613"/>
      <c r="G45" s="641"/>
      <c r="H45" s="642"/>
      <c r="I45" s="643"/>
      <c r="J45" s="478">
        <v>0</v>
      </c>
      <c r="K45" s="449" t="s">
        <v>77</v>
      </c>
      <c r="L45" s="627">
        <v>0</v>
      </c>
      <c r="M45" s="628"/>
      <c r="N45" s="450" t="s">
        <v>77</v>
      </c>
      <c r="O45" s="627">
        <v>0</v>
      </c>
      <c r="P45" s="628"/>
      <c r="Q45" s="449" t="s">
        <v>77</v>
      </c>
      <c r="R45" s="451"/>
      <c r="S45" s="631"/>
      <c r="T45" s="631"/>
      <c r="U45" s="468">
        <v>0</v>
      </c>
      <c r="V45" s="629" t="s">
        <v>77</v>
      </c>
      <c r="W45" s="630"/>
      <c r="X45" s="611" t="str">
        <f>IF(Validator!D26&lt;&gt;TRUE,"Amount or Unit missing",IF(AND(J45=0,L45=0,O45=0,U45=0),"Nothing reported","Waste type reported"))</f>
        <v>Nothing reported</v>
      </c>
      <c r="Y45" s="612"/>
      <c r="Z45" s="509"/>
      <c r="AA45" s="501"/>
      <c r="AB45" s="501"/>
      <c r="AC45" s="501"/>
    </row>
    <row r="46" spans="2:30" s="30" customFormat="1" ht="13.5" customHeight="1" thickBot="1" x14ac:dyDescent="0.3">
      <c r="B46" s="455">
        <v>2300</v>
      </c>
      <c r="C46" s="613" t="s">
        <v>2013</v>
      </c>
      <c r="D46" s="613"/>
      <c r="E46" s="613"/>
      <c r="F46" s="613"/>
      <c r="G46" s="641"/>
      <c r="H46" s="642"/>
      <c r="I46" s="643"/>
      <c r="J46" s="478">
        <v>0</v>
      </c>
      <c r="K46" s="449" t="s">
        <v>77</v>
      </c>
      <c r="L46" s="627">
        <v>0</v>
      </c>
      <c r="M46" s="628"/>
      <c r="N46" s="450" t="s">
        <v>77</v>
      </c>
      <c r="O46" s="627">
        <v>0</v>
      </c>
      <c r="P46" s="628"/>
      <c r="Q46" s="449" t="s">
        <v>77</v>
      </c>
      <c r="R46" s="451"/>
      <c r="S46" s="631"/>
      <c r="T46" s="631"/>
      <c r="U46" s="469">
        <v>0</v>
      </c>
      <c r="V46" s="629" t="s">
        <v>77</v>
      </c>
      <c r="W46" s="630"/>
      <c r="X46" s="611" t="str">
        <f>IF(Validator!D27&lt;&gt;TRUE,"Amount or Unit missing",IF(AND(J46=0,L46=0,O46=0,U46=0),"Nothing reported","Waste type reported"))</f>
        <v>Nothing reported</v>
      </c>
      <c r="Y46" s="612"/>
    </row>
    <row r="47" spans="2:30" s="30" customFormat="1" ht="13.5" customHeight="1" thickTop="1" x14ac:dyDescent="0.25">
      <c r="B47" s="505" t="s">
        <v>1955</v>
      </c>
      <c r="C47" s="504"/>
      <c r="D47" s="504"/>
      <c r="E47" s="504"/>
      <c r="F47" s="471"/>
      <c r="G47" s="472"/>
      <c r="H47" s="471"/>
      <c r="I47" s="471"/>
      <c r="J47" s="471"/>
      <c r="K47" s="471"/>
      <c r="L47" s="471"/>
      <c r="M47" s="471"/>
      <c r="N47" s="471"/>
      <c r="O47" s="471"/>
      <c r="P47" s="471"/>
      <c r="Q47" s="471"/>
      <c r="R47" s="471"/>
      <c r="S47" s="471"/>
      <c r="T47" s="471"/>
      <c r="U47" s="471"/>
      <c r="V47" s="471"/>
      <c r="W47" s="473"/>
      <c r="X47" s="611"/>
      <c r="Y47" s="612"/>
    </row>
    <row r="48" spans="2:30" s="30" customFormat="1" ht="12.75" customHeight="1" x14ac:dyDescent="0.25">
      <c r="B48" s="454">
        <v>4000</v>
      </c>
      <c r="C48" s="757" t="s">
        <v>1395</v>
      </c>
      <c r="D48" s="757"/>
      <c r="E48" s="757"/>
      <c r="F48" s="758"/>
      <c r="G48" s="687"/>
      <c r="H48" s="688"/>
      <c r="I48" s="689"/>
      <c r="J48" s="474">
        <v>0</v>
      </c>
      <c r="K48" s="437" t="s">
        <v>77</v>
      </c>
      <c r="L48" s="625">
        <v>0</v>
      </c>
      <c r="M48" s="626"/>
      <c r="N48" s="438" t="s">
        <v>77</v>
      </c>
      <c r="O48" s="625">
        <v>0</v>
      </c>
      <c r="P48" s="626"/>
      <c r="Q48" s="437" t="s">
        <v>77</v>
      </c>
      <c r="R48" s="439"/>
      <c r="S48" s="631"/>
      <c r="T48" s="631"/>
      <c r="U48" s="474">
        <v>0</v>
      </c>
      <c r="V48" s="617" t="s">
        <v>77</v>
      </c>
      <c r="W48" s="618"/>
      <c r="X48" s="611" t="str">
        <f>IF(Validator!D29&lt;&gt;TRUE,"Amount or Unit missing",IF(AND(J48=0,L48=0,O48=0,U48=0),"Nothing reported","Waste type reported"))</f>
        <v>Nothing reported</v>
      </c>
      <c r="Y48" s="612"/>
    </row>
    <row r="49" spans="2:29" s="30" customFormat="1" ht="12.75" customHeight="1" x14ac:dyDescent="0.25">
      <c r="B49" s="454">
        <v>4101</v>
      </c>
      <c r="C49" s="613" t="s">
        <v>597</v>
      </c>
      <c r="D49" s="613"/>
      <c r="E49" s="613"/>
      <c r="F49" s="613"/>
      <c r="G49" s="622" t="s">
        <v>1964</v>
      </c>
      <c r="H49" s="623"/>
      <c r="I49" s="624"/>
      <c r="J49" s="478">
        <v>0</v>
      </c>
      <c r="K49" s="449" t="s">
        <v>77</v>
      </c>
      <c r="L49" s="627">
        <v>0</v>
      </c>
      <c r="M49" s="628"/>
      <c r="N49" s="450" t="s">
        <v>77</v>
      </c>
      <c r="O49" s="627">
        <v>0</v>
      </c>
      <c r="P49" s="628"/>
      <c r="Q49" s="449" t="s">
        <v>77</v>
      </c>
      <c r="R49" s="451"/>
      <c r="S49" s="631"/>
      <c r="T49" s="631"/>
      <c r="U49" s="478">
        <v>0</v>
      </c>
      <c r="V49" s="629" t="s">
        <v>77</v>
      </c>
      <c r="W49" s="630"/>
      <c r="X49" s="611" t="str">
        <f>IF(Validator!D30&lt;&gt;TRUE,"Amount or Unit missing",IF(AND(J49=0,L49=0,O49=0,U49=0),"Nothing reported","Waste type reported"))</f>
        <v>Nothing reported</v>
      </c>
      <c r="Y49" s="612"/>
      <c r="Z49" s="510"/>
      <c r="AA49" s="496"/>
      <c r="AB49" s="496"/>
      <c r="AC49" s="496"/>
    </row>
    <row r="50" spans="2:29" s="30" customFormat="1" ht="13.5" customHeight="1" thickBot="1" x14ac:dyDescent="0.3">
      <c r="B50" s="454">
        <v>4100</v>
      </c>
      <c r="C50" s="759" t="s">
        <v>1400</v>
      </c>
      <c r="D50" s="759"/>
      <c r="E50" s="759"/>
      <c r="F50" s="760"/>
      <c r="G50" s="687"/>
      <c r="H50" s="688"/>
      <c r="I50" s="689"/>
      <c r="J50" s="479">
        <v>0</v>
      </c>
      <c r="K50" s="467" t="s">
        <v>77</v>
      </c>
      <c r="L50" s="660">
        <v>0</v>
      </c>
      <c r="M50" s="661"/>
      <c r="N50" s="302" t="s">
        <v>77</v>
      </c>
      <c r="O50" s="660">
        <v>0</v>
      </c>
      <c r="P50" s="661"/>
      <c r="Q50" s="491" t="s">
        <v>77</v>
      </c>
      <c r="R50" s="493"/>
      <c r="S50" s="631"/>
      <c r="T50" s="631"/>
      <c r="U50" s="479">
        <v>0</v>
      </c>
      <c r="V50" s="658" t="s">
        <v>77</v>
      </c>
      <c r="W50" s="659"/>
      <c r="X50" s="611" t="str">
        <f>IF(Validator!D31&lt;&gt;TRUE,"Amount or Unit missing",IF(AND(J50=0,L50=0,O50=0,U50=0),"Nothing reported","Waste type reported"))</f>
        <v>Nothing reported</v>
      </c>
      <c r="Y50" s="612"/>
    </row>
    <row r="51" spans="2:29" s="30" customFormat="1" ht="13.5" customHeight="1" thickTop="1" x14ac:dyDescent="0.25">
      <c r="B51" s="506" t="s">
        <v>1956</v>
      </c>
      <c r="C51" s="471"/>
      <c r="D51" s="471"/>
      <c r="E51" s="471"/>
      <c r="F51" s="471"/>
      <c r="G51" s="472"/>
      <c r="H51" s="471"/>
      <c r="I51" s="471"/>
      <c r="J51" s="471"/>
      <c r="K51" s="471"/>
      <c r="L51" s="471"/>
      <c r="M51" s="471"/>
      <c r="N51" s="471"/>
      <c r="O51" s="471"/>
      <c r="P51" s="471"/>
      <c r="Q51" s="471"/>
      <c r="R51" s="471"/>
      <c r="S51" s="504"/>
      <c r="T51" s="504"/>
      <c r="U51" s="504"/>
      <c r="V51" s="504"/>
      <c r="W51" s="473"/>
      <c r="X51" s="611"/>
      <c r="Y51" s="612"/>
    </row>
    <row r="52" spans="2:29" s="30" customFormat="1" ht="12.75" customHeight="1" x14ac:dyDescent="0.25">
      <c r="B52" s="454">
        <v>5000</v>
      </c>
      <c r="C52" s="744" t="s">
        <v>1396</v>
      </c>
      <c r="D52" s="744"/>
      <c r="E52" s="744"/>
      <c r="F52" s="745"/>
      <c r="G52" s="641"/>
      <c r="H52" s="642"/>
      <c r="I52" s="643"/>
      <c r="J52" s="460">
        <v>0</v>
      </c>
      <c r="K52" s="466" t="s">
        <v>77</v>
      </c>
      <c r="L52" s="662">
        <v>0</v>
      </c>
      <c r="M52" s="635"/>
      <c r="N52" s="475" t="s">
        <v>77</v>
      </c>
      <c r="O52" s="662">
        <v>0</v>
      </c>
      <c r="P52" s="635"/>
      <c r="Q52" s="492" t="s">
        <v>77</v>
      </c>
      <c r="R52" s="494"/>
      <c r="S52" s="631"/>
      <c r="T52" s="631"/>
      <c r="U52" s="460">
        <v>0</v>
      </c>
      <c r="V52" s="656" t="s">
        <v>77</v>
      </c>
      <c r="W52" s="657"/>
      <c r="X52" s="611" t="str">
        <f>IF(Validator!D33&lt;&gt;TRUE,"Amount or Unit missing",IF(AND(J52=0,L52=0,O52=0,U52=0),"Nothing reported","Waste type reported"))</f>
        <v>Nothing reported</v>
      </c>
      <c r="Y52" s="612"/>
    </row>
    <row r="53" spans="2:29" s="30" customFormat="1" ht="12.75" customHeight="1" x14ac:dyDescent="0.25">
      <c r="B53" s="454">
        <v>5101</v>
      </c>
      <c r="C53" s="742" t="s">
        <v>598</v>
      </c>
      <c r="D53" s="742"/>
      <c r="E53" s="742"/>
      <c r="F53" s="743"/>
      <c r="G53" s="619" t="s">
        <v>1964</v>
      </c>
      <c r="H53" s="620"/>
      <c r="I53" s="621"/>
      <c r="J53" s="459">
        <v>0</v>
      </c>
      <c r="K53" s="467" t="s">
        <v>77</v>
      </c>
      <c r="L53" s="663">
        <v>0</v>
      </c>
      <c r="M53" s="664"/>
      <c r="N53" s="302" t="s">
        <v>77</v>
      </c>
      <c r="O53" s="663">
        <v>0</v>
      </c>
      <c r="P53" s="664"/>
      <c r="Q53" s="491" t="s">
        <v>77</v>
      </c>
      <c r="R53" s="493"/>
      <c r="S53" s="631"/>
      <c r="T53" s="631"/>
      <c r="U53" s="459">
        <v>0</v>
      </c>
      <c r="V53" s="658" t="s">
        <v>77</v>
      </c>
      <c r="W53" s="659"/>
      <c r="X53" s="611" t="str">
        <f>IF(Validator!D34&lt;&gt;TRUE,"Amount or Unit missing",IF(AND(J53=0,L53=0,O53=0,U53=0),"Nothing reported","Waste type reported"))</f>
        <v>Nothing reported</v>
      </c>
      <c r="Y53" s="612"/>
    </row>
    <row r="54" spans="2:29" s="30" customFormat="1" ht="12.75" customHeight="1" x14ac:dyDescent="0.25">
      <c r="B54" s="454">
        <v>5102</v>
      </c>
      <c r="C54" s="744" t="s">
        <v>601</v>
      </c>
      <c r="D54" s="744"/>
      <c r="E54" s="744"/>
      <c r="F54" s="745"/>
      <c r="G54" s="622" t="s">
        <v>1964</v>
      </c>
      <c r="H54" s="623"/>
      <c r="I54" s="624"/>
      <c r="J54" s="460">
        <v>0</v>
      </c>
      <c r="K54" s="466" t="s">
        <v>77</v>
      </c>
      <c r="L54" s="662">
        <v>0</v>
      </c>
      <c r="M54" s="635"/>
      <c r="N54" s="475" t="s">
        <v>77</v>
      </c>
      <c r="O54" s="662">
        <v>0</v>
      </c>
      <c r="P54" s="635"/>
      <c r="Q54" s="492" t="s">
        <v>77</v>
      </c>
      <c r="R54" s="494"/>
      <c r="S54" s="631"/>
      <c r="T54" s="631"/>
      <c r="U54" s="460">
        <v>0</v>
      </c>
      <c r="V54" s="656" t="s">
        <v>77</v>
      </c>
      <c r="W54" s="657"/>
      <c r="X54" s="611" t="str">
        <f>IF(Validator!D35&lt;&gt;TRUE,"Amount or Unit missing",IF(AND(J54=0,L54=0,O54=0,U54=0),"Nothing reported","Waste type reported"))</f>
        <v>Nothing reported</v>
      </c>
      <c r="Y54" s="612"/>
    </row>
    <row r="55" spans="2:29" s="30" customFormat="1" ht="12.75" customHeight="1" x14ac:dyDescent="0.25">
      <c r="B55" s="454">
        <v>5103</v>
      </c>
      <c r="C55" s="742" t="s">
        <v>603</v>
      </c>
      <c r="D55" s="742"/>
      <c r="E55" s="742"/>
      <c r="F55" s="743"/>
      <c r="G55" s="619" t="s">
        <v>1964</v>
      </c>
      <c r="H55" s="620"/>
      <c r="I55" s="621"/>
      <c r="J55" s="459">
        <v>0</v>
      </c>
      <c r="K55" s="467" t="s">
        <v>77</v>
      </c>
      <c r="L55" s="663">
        <v>0</v>
      </c>
      <c r="M55" s="664"/>
      <c r="N55" s="302" t="s">
        <v>77</v>
      </c>
      <c r="O55" s="663">
        <v>0</v>
      </c>
      <c r="P55" s="664"/>
      <c r="Q55" s="491" t="s">
        <v>77</v>
      </c>
      <c r="R55" s="493"/>
      <c r="S55" s="631"/>
      <c r="T55" s="631"/>
      <c r="U55" s="459">
        <v>0</v>
      </c>
      <c r="V55" s="658" t="s">
        <v>77</v>
      </c>
      <c r="W55" s="659"/>
      <c r="X55" s="611" t="str">
        <f>IF(Validator!D36&lt;&gt;TRUE,"Amount or Unit missing",IF(AND(J55=0,L55=0,O55=0,U55=0),"Nothing reported","Waste type reported"))</f>
        <v>Nothing reported</v>
      </c>
      <c r="Y55" s="612"/>
    </row>
    <row r="56" spans="2:29" s="30" customFormat="1" ht="12.75" customHeight="1" x14ac:dyDescent="0.25">
      <c r="B56" s="454">
        <v>5100</v>
      </c>
      <c r="C56" s="744" t="s">
        <v>2001</v>
      </c>
      <c r="D56" s="744"/>
      <c r="E56" s="744"/>
      <c r="F56" s="745"/>
      <c r="G56" s="761"/>
      <c r="H56" s="762"/>
      <c r="I56" s="763"/>
      <c r="J56" s="460">
        <v>0</v>
      </c>
      <c r="K56" s="466" t="s">
        <v>77</v>
      </c>
      <c r="L56" s="662">
        <v>0</v>
      </c>
      <c r="M56" s="635"/>
      <c r="N56" s="475" t="s">
        <v>77</v>
      </c>
      <c r="O56" s="662">
        <v>0</v>
      </c>
      <c r="P56" s="635"/>
      <c r="Q56" s="492" t="s">
        <v>77</v>
      </c>
      <c r="R56" s="494"/>
      <c r="S56" s="631"/>
      <c r="T56" s="631"/>
      <c r="U56" s="460">
        <v>0</v>
      </c>
      <c r="V56" s="656" t="s">
        <v>77</v>
      </c>
      <c r="W56" s="657"/>
      <c r="X56" s="611" t="str">
        <f>IF(Validator!D37&lt;&gt;TRUE,"Amount or Unit missing",IF(AND(J56=0,L56=0,O56=0,U56=0),"Nothing reported","Waste type reported"))</f>
        <v>Nothing reported</v>
      </c>
      <c r="Y56" s="612"/>
    </row>
    <row r="57" spans="2:29" s="30" customFormat="1" ht="24.75" customHeight="1" x14ac:dyDescent="0.25">
      <c r="B57" s="454">
        <v>5201</v>
      </c>
      <c r="C57" s="742" t="s">
        <v>1963</v>
      </c>
      <c r="D57" s="742"/>
      <c r="E57" s="742"/>
      <c r="F57" s="743"/>
      <c r="G57" s="687"/>
      <c r="H57" s="688"/>
      <c r="I57" s="689"/>
      <c r="J57" s="459">
        <v>0</v>
      </c>
      <c r="K57" s="467" t="s">
        <v>77</v>
      </c>
      <c r="L57" s="663">
        <v>0</v>
      </c>
      <c r="M57" s="664"/>
      <c r="N57" s="302" t="s">
        <v>77</v>
      </c>
      <c r="O57" s="663">
        <v>0</v>
      </c>
      <c r="P57" s="664"/>
      <c r="Q57" s="491" t="s">
        <v>77</v>
      </c>
      <c r="R57" s="493"/>
      <c r="S57" s="631"/>
      <c r="T57" s="631"/>
      <c r="U57" s="459">
        <v>0</v>
      </c>
      <c r="V57" s="658" t="s">
        <v>77</v>
      </c>
      <c r="W57" s="659"/>
      <c r="X57" s="611" t="str">
        <f>IF(Validator!D38&lt;&gt;TRUE,"Amount or Unit missing",IF(AND(J57=0,L57=0,O57=0,U57=0),"Nothing reported","Waste type reported"))</f>
        <v>Nothing reported</v>
      </c>
      <c r="Y57" s="612"/>
    </row>
    <row r="58" spans="2:29" s="30" customFormat="1" ht="24.75" customHeight="1" x14ac:dyDescent="0.25">
      <c r="B58" s="454">
        <v>5202</v>
      </c>
      <c r="C58" s="744" t="s">
        <v>1962</v>
      </c>
      <c r="D58" s="744"/>
      <c r="E58" s="744"/>
      <c r="F58" s="745"/>
      <c r="G58" s="641"/>
      <c r="H58" s="642"/>
      <c r="I58" s="643"/>
      <c r="J58" s="460">
        <v>0</v>
      </c>
      <c r="K58" s="466" t="s">
        <v>77</v>
      </c>
      <c r="L58" s="662">
        <v>0</v>
      </c>
      <c r="M58" s="635"/>
      <c r="N58" s="475" t="s">
        <v>77</v>
      </c>
      <c r="O58" s="662">
        <v>0</v>
      </c>
      <c r="P58" s="635"/>
      <c r="Q58" s="492" t="s">
        <v>77</v>
      </c>
      <c r="R58" s="494"/>
      <c r="S58" s="631"/>
      <c r="T58" s="631"/>
      <c r="U58" s="460">
        <v>0</v>
      </c>
      <c r="V58" s="656" t="s">
        <v>77</v>
      </c>
      <c r="W58" s="657"/>
      <c r="X58" s="611" t="str">
        <f>IF(Validator!D39&lt;&gt;TRUE,"Amount or Unit missing",IF(AND(J58=0,L58=0,O58=0,U58=0),"Nothing reported","Waste type reported"))</f>
        <v>Nothing reported</v>
      </c>
      <c r="Y58" s="612"/>
    </row>
    <row r="59" spans="2:29" s="30" customFormat="1" ht="25.5" customHeight="1" x14ac:dyDescent="0.25">
      <c r="B59" s="454">
        <v>5200</v>
      </c>
      <c r="C59" s="742" t="s">
        <v>1961</v>
      </c>
      <c r="D59" s="742"/>
      <c r="E59" s="742"/>
      <c r="F59" s="743"/>
      <c r="G59" s="687"/>
      <c r="H59" s="688"/>
      <c r="I59" s="689"/>
      <c r="J59" s="459">
        <v>0</v>
      </c>
      <c r="K59" s="467" t="s">
        <v>77</v>
      </c>
      <c r="L59" s="663">
        <v>0</v>
      </c>
      <c r="M59" s="664"/>
      <c r="N59" s="302" t="s">
        <v>77</v>
      </c>
      <c r="O59" s="663">
        <v>0</v>
      </c>
      <c r="P59" s="664"/>
      <c r="Q59" s="491" t="s">
        <v>77</v>
      </c>
      <c r="R59" s="493"/>
      <c r="S59" s="631"/>
      <c r="T59" s="631"/>
      <c r="U59" s="459">
        <v>0</v>
      </c>
      <c r="V59" s="658" t="s">
        <v>77</v>
      </c>
      <c r="W59" s="659"/>
      <c r="X59" s="611" t="str">
        <f>IF(Validator!D40&lt;&gt;TRUE,"Amount or Unit missing",IF(AND(J59=0,L59=0,O59=0,U59=0),"Nothing reported","Waste type reported"))</f>
        <v>Nothing reported</v>
      </c>
      <c r="Y59" s="612"/>
    </row>
    <row r="60" spans="2:29" s="30" customFormat="1" ht="29.25" customHeight="1" x14ac:dyDescent="0.25">
      <c r="B60" s="454">
        <v>5301</v>
      </c>
      <c r="C60" s="744" t="s">
        <v>1957</v>
      </c>
      <c r="D60" s="744"/>
      <c r="E60" s="744"/>
      <c r="F60" s="745"/>
      <c r="G60" s="752"/>
      <c r="H60" s="753"/>
      <c r="I60" s="754"/>
      <c r="J60" s="460">
        <v>0</v>
      </c>
      <c r="K60" s="466" t="s">
        <v>77</v>
      </c>
      <c r="L60" s="662">
        <v>0</v>
      </c>
      <c r="M60" s="635"/>
      <c r="N60" s="475" t="s">
        <v>77</v>
      </c>
      <c r="O60" s="662">
        <v>0</v>
      </c>
      <c r="P60" s="635"/>
      <c r="Q60" s="492" t="s">
        <v>77</v>
      </c>
      <c r="R60" s="494"/>
      <c r="S60" s="631"/>
      <c r="T60" s="631"/>
      <c r="U60" s="460">
        <v>0</v>
      </c>
      <c r="V60" s="656" t="s">
        <v>77</v>
      </c>
      <c r="W60" s="657"/>
      <c r="X60" s="611" t="str">
        <f>IF(Validator!D41&lt;&gt;TRUE,"Amount or Unit missing",IF(AND(J60=0,L60=0,O60=0,U60=0),"Nothing reported","Waste type reported"))</f>
        <v>Nothing reported</v>
      </c>
      <c r="Y60" s="612"/>
    </row>
    <row r="61" spans="2:29" s="30" customFormat="1" ht="27" customHeight="1" x14ac:dyDescent="0.25">
      <c r="B61" s="454">
        <v>5302</v>
      </c>
      <c r="C61" s="742" t="s">
        <v>1959</v>
      </c>
      <c r="D61" s="742"/>
      <c r="E61" s="742"/>
      <c r="F61" s="743"/>
      <c r="G61" s="687"/>
      <c r="H61" s="688"/>
      <c r="I61" s="689"/>
      <c r="J61" s="459">
        <v>0</v>
      </c>
      <c r="K61" s="467" t="s">
        <v>77</v>
      </c>
      <c r="L61" s="663">
        <v>0</v>
      </c>
      <c r="M61" s="664"/>
      <c r="N61" s="302" t="s">
        <v>77</v>
      </c>
      <c r="O61" s="663">
        <v>0</v>
      </c>
      <c r="P61" s="664"/>
      <c r="Q61" s="491" t="s">
        <v>77</v>
      </c>
      <c r="R61" s="493"/>
      <c r="S61" s="631"/>
      <c r="T61" s="631"/>
      <c r="U61" s="459">
        <v>0</v>
      </c>
      <c r="V61" s="658" t="s">
        <v>77</v>
      </c>
      <c r="W61" s="659"/>
      <c r="X61" s="611" t="str">
        <f>IF(Validator!D42&lt;&gt;TRUE,"Amount or Unit missing",IF(AND(J61=0,L61=0,O61=0,U61=0),"Nothing reported","Waste type reported"))</f>
        <v>Nothing reported</v>
      </c>
      <c r="Y61" s="612"/>
    </row>
    <row r="62" spans="2:29" s="30" customFormat="1" ht="12.75" customHeight="1" x14ac:dyDescent="0.25">
      <c r="B62" s="454">
        <v>5303</v>
      </c>
      <c r="C62" s="744" t="s">
        <v>1960</v>
      </c>
      <c r="D62" s="744"/>
      <c r="E62" s="744"/>
      <c r="F62" s="745"/>
      <c r="G62" s="641"/>
      <c r="H62" s="642"/>
      <c r="I62" s="643"/>
      <c r="J62" s="460">
        <v>0</v>
      </c>
      <c r="K62" s="466" t="s">
        <v>77</v>
      </c>
      <c r="L62" s="662">
        <v>0</v>
      </c>
      <c r="M62" s="635"/>
      <c r="N62" s="475" t="s">
        <v>77</v>
      </c>
      <c r="O62" s="662">
        <v>0</v>
      </c>
      <c r="P62" s="635"/>
      <c r="Q62" s="492" t="s">
        <v>77</v>
      </c>
      <c r="R62" s="494"/>
      <c r="S62" s="631"/>
      <c r="T62" s="631"/>
      <c r="U62" s="460">
        <v>0</v>
      </c>
      <c r="V62" s="656" t="s">
        <v>77</v>
      </c>
      <c r="W62" s="657"/>
      <c r="X62" s="611" t="str">
        <f>IF(Validator!D43&lt;&gt;TRUE,"Amount or Unit missing",IF(AND(J62=0,L62=0,O62=0,U62=0),"Nothing reported","Waste type reported"))</f>
        <v>Nothing reported</v>
      </c>
      <c r="Y62" s="612"/>
    </row>
    <row r="63" spans="2:29" s="30" customFormat="1" x14ac:dyDescent="0.25">
      <c r="B63" s="454">
        <v>5304</v>
      </c>
      <c r="C63" s="742" t="s">
        <v>1958</v>
      </c>
      <c r="D63" s="742"/>
      <c r="E63" s="742"/>
      <c r="F63" s="743"/>
      <c r="G63" s="687"/>
      <c r="H63" s="688"/>
      <c r="I63" s="689"/>
      <c r="J63" s="459">
        <v>0</v>
      </c>
      <c r="K63" s="467" t="s">
        <v>77</v>
      </c>
      <c r="L63" s="663">
        <v>0</v>
      </c>
      <c r="M63" s="664"/>
      <c r="N63" s="302" t="s">
        <v>77</v>
      </c>
      <c r="O63" s="663">
        <v>0</v>
      </c>
      <c r="P63" s="664"/>
      <c r="Q63" s="491" t="s">
        <v>77</v>
      </c>
      <c r="R63" s="493"/>
      <c r="S63" s="631"/>
      <c r="T63" s="631"/>
      <c r="U63" s="459">
        <v>0</v>
      </c>
      <c r="V63" s="658" t="s">
        <v>77</v>
      </c>
      <c r="W63" s="659"/>
      <c r="X63" s="611" t="str">
        <f>IF(Validator!D44&lt;&gt;TRUE,"Amount or Unit missing",IF(AND(J63=0,L63=0,O63=0,U63=0),"Nothing reported","Waste type reported"))</f>
        <v>Nothing reported</v>
      </c>
      <c r="Y63" s="612"/>
    </row>
    <row r="64" spans="2:29" s="30" customFormat="1" ht="13.5" customHeight="1" thickBot="1" x14ac:dyDescent="0.3">
      <c r="B64" s="452">
        <v>5300</v>
      </c>
      <c r="C64" s="746" t="s">
        <v>2001</v>
      </c>
      <c r="D64" s="746"/>
      <c r="E64" s="746"/>
      <c r="F64" s="746"/>
      <c r="G64" s="667"/>
      <c r="H64" s="668"/>
      <c r="I64" s="669"/>
      <c r="J64" s="480">
        <v>0</v>
      </c>
      <c r="K64" s="456" t="s">
        <v>77</v>
      </c>
      <c r="L64" s="747">
        <v>0</v>
      </c>
      <c r="M64" s="748"/>
      <c r="N64" s="457" t="s">
        <v>77</v>
      </c>
      <c r="O64" s="747">
        <v>0</v>
      </c>
      <c r="P64" s="748"/>
      <c r="Q64" s="456" t="s">
        <v>77</v>
      </c>
      <c r="R64" s="458"/>
      <c r="S64" s="631"/>
      <c r="T64" s="631"/>
      <c r="U64" s="480">
        <v>0</v>
      </c>
      <c r="V64" s="755" t="s">
        <v>77</v>
      </c>
      <c r="W64" s="756"/>
      <c r="X64" s="611" t="str">
        <f>IF(Validator!D45&lt;&gt;TRUE,"Amount or Unit missing",IF(AND(J64=0,L64=0,O64=0,U64=0),"Nothing reported","Waste type reported"))</f>
        <v>Nothing reported</v>
      </c>
      <c r="Y64" s="612"/>
    </row>
    <row r="65" spans="2:28" s="30" customFormat="1" ht="13.5" customHeight="1" thickTop="1" x14ac:dyDescent="0.25">
      <c r="B65" s="506" t="s">
        <v>2003</v>
      </c>
      <c r="C65" s="471"/>
      <c r="D65" s="471"/>
      <c r="E65" s="471"/>
      <c r="F65" s="471"/>
      <c r="G65" s="472"/>
      <c r="H65" s="471"/>
      <c r="I65" s="471"/>
      <c r="J65" s="471"/>
      <c r="K65" s="471"/>
      <c r="L65" s="471"/>
      <c r="M65" s="471"/>
      <c r="N65" s="471"/>
      <c r="O65" s="471"/>
      <c r="P65" s="471"/>
      <c r="Q65" s="471"/>
      <c r="R65" s="471"/>
      <c r="S65" s="766"/>
      <c r="T65" s="767"/>
      <c r="U65" s="471"/>
      <c r="V65" s="471"/>
      <c r="W65" s="473"/>
      <c r="X65" s="611"/>
      <c r="Y65" s="612"/>
    </row>
    <row r="66" spans="2:28" s="30" customFormat="1" ht="39.75" customHeight="1" x14ac:dyDescent="0.25">
      <c r="B66" s="464" t="e">
        <f>VLOOKUP(Waste!$D66, REF_WASTE_TYPE_CODE[], 2,FALSE)</f>
        <v>#N/A</v>
      </c>
      <c r="C66" s="502"/>
      <c r="D66" s="665"/>
      <c r="E66" s="666"/>
      <c r="F66" s="749"/>
      <c r="G66" s="768"/>
      <c r="H66" s="688"/>
      <c r="I66" s="689"/>
      <c r="J66" s="474"/>
      <c r="K66" s="437" t="s">
        <v>77</v>
      </c>
      <c r="L66" s="625"/>
      <c r="M66" s="626"/>
      <c r="N66" s="438" t="s">
        <v>77</v>
      </c>
      <c r="O66" s="625"/>
      <c r="P66" s="626"/>
      <c r="Q66" s="437" t="s">
        <v>77</v>
      </c>
      <c r="R66" s="439"/>
      <c r="S66" s="631"/>
      <c r="T66" s="631"/>
      <c r="U66" s="474"/>
      <c r="V66" s="617" t="s">
        <v>77</v>
      </c>
      <c r="W66" s="618"/>
      <c r="X66" s="611" t="str">
        <f>IF(ISNA(B66),"Nothing reported",IF(Validator!D46&lt;&gt;TRUE,"Amount or Unit missing",IF(AND(J66=0,L66=0,O66=0,U66=0),"Nothing reported","Waste type reported")))</f>
        <v>Nothing reported</v>
      </c>
      <c r="Y66" s="612"/>
    </row>
    <row r="67" spans="2:28" s="30" customFormat="1" ht="39.75" customHeight="1" x14ac:dyDescent="0.25">
      <c r="B67" s="464" t="e">
        <f>VLOOKUP(Waste!$D67, REF_WASTE_TYPE_CODE[], 2,FALSE)</f>
        <v>#N/A</v>
      </c>
      <c r="C67" s="483"/>
      <c r="D67" s="750"/>
      <c r="E67" s="751"/>
      <c r="F67" s="751"/>
      <c r="G67" s="769"/>
      <c r="H67" s="642"/>
      <c r="I67" s="643"/>
      <c r="J67" s="460"/>
      <c r="K67" s="466" t="s">
        <v>77</v>
      </c>
      <c r="L67" s="662"/>
      <c r="M67" s="635"/>
      <c r="N67" s="475" t="s">
        <v>77</v>
      </c>
      <c r="O67" s="662"/>
      <c r="P67" s="635"/>
      <c r="Q67" s="492" t="s">
        <v>77</v>
      </c>
      <c r="R67" s="494"/>
      <c r="S67" s="631"/>
      <c r="T67" s="631"/>
      <c r="U67" s="460"/>
      <c r="V67" s="656" t="s">
        <v>77</v>
      </c>
      <c r="W67" s="657"/>
      <c r="X67" s="611" t="str">
        <f>IF(ISNA(B67),"Nothing reported",IF(Validator!D47&lt;&gt;TRUE,"Amount or Unit missing",IF(AND(J67=0,L67=0,O67=0,U67=0),"Nothing reported","Waste type reported")))</f>
        <v>Nothing reported</v>
      </c>
      <c r="Y67" s="612"/>
    </row>
    <row r="68" spans="2:28" s="30" customFormat="1" ht="39.75" customHeight="1" x14ac:dyDescent="0.25">
      <c r="B68" s="464" t="e">
        <f>VLOOKUP(Waste!$D68, REF_WASTE_TYPE_CODE[], 2,FALSE)</f>
        <v>#N/A</v>
      </c>
      <c r="C68" s="484"/>
      <c r="D68" s="665"/>
      <c r="E68" s="666"/>
      <c r="F68" s="666"/>
      <c r="G68" s="768"/>
      <c r="H68" s="688"/>
      <c r="I68" s="689"/>
      <c r="J68" s="459"/>
      <c r="K68" s="467" t="s">
        <v>77</v>
      </c>
      <c r="L68" s="663"/>
      <c r="M68" s="664"/>
      <c r="N68" s="302" t="s">
        <v>77</v>
      </c>
      <c r="O68" s="663"/>
      <c r="P68" s="664"/>
      <c r="Q68" s="491" t="s">
        <v>77</v>
      </c>
      <c r="R68" s="493"/>
      <c r="S68" s="631"/>
      <c r="T68" s="631"/>
      <c r="U68" s="459"/>
      <c r="V68" s="658" t="s">
        <v>77</v>
      </c>
      <c r="W68" s="659"/>
      <c r="X68" s="611" t="str">
        <f>IF(ISNA(B68),"Nothing reported",IF(Validator!D48&lt;&gt;TRUE,"Amount or Unit missing",IF(AND(J68=0,L68=0,O68=0,U68=0),"Nothing reported","Waste type reported")))</f>
        <v>Nothing reported</v>
      </c>
      <c r="Y68" s="612"/>
    </row>
    <row r="69" spans="2:28" s="30" customFormat="1" ht="40.5" customHeight="1" thickBot="1" x14ac:dyDescent="0.3">
      <c r="B69" s="465" t="e">
        <f>VLOOKUP(Waste!$D69, REF_WASTE_TYPE_CODE[], 2,FALSE)</f>
        <v>#N/A</v>
      </c>
      <c r="C69" s="522"/>
      <c r="D69" s="670"/>
      <c r="E69" s="671"/>
      <c r="F69" s="671"/>
      <c r="G69" s="667"/>
      <c r="H69" s="668"/>
      <c r="I69" s="669"/>
      <c r="J69" s="521"/>
      <c r="K69" s="489" t="s">
        <v>77</v>
      </c>
      <c r="L69" s="652"/>
      <c r="M69" s="653"/>
      <c r="N69" s="520" t="s">
        <v>77</v>
      </c>
      <c r="O69" s="652"/>
      <c r="P69" s="653"/>
      <c r="Q69" s="489" t="s">
        <v>77</v>
      </c>
      <c r="R69" s="495"/>
      <c r="S69" s="672"/>
      <c r="T69" s="672"/>
      <c r="U69" s="521"/>
      <c r="V69" s="654" t="s">
        <v>77</v>
      </c>
      <c r="W69" s="655"/>
      <c r="X69" s="770" t="str">
        <f>IF(ISNA(B69),"Nothing reported",IF(Validator!D49&lt;&gt;TRUE,"Amount or Unit missing",IF(AND(J69=0,L69=0,O69=0,U69=0),"Nothing reported","Waste type reported")))</f>
        <v>Nothing reported</v>
      </c>
      <c r="Y69" s="771"/>
    </row>
    <row r="70" spans="2:28" s="30" customFormat="1" ht="3" customHeight="1" thickTop="1" x14ac:dyDescent="0.25">
      <c r="X70" s="765"/>
      <c r="Y70" s="765"/>
    </row>
    <row r="71" spans="2:28" ht="18.75" hidden="1" customHeight="1" x14ac:dyDescent="0.25">
      <c r="B71" s="3" t="s">
        <v>1913</v>
      </c>
      <c r="C71" s="164" t="s">
        <v>2044</v>
      </c>
      <c r="X71" s="764"/>
      <c r="Y71" s="764"/>
    </row>
    <row r="72" spans="2:28" x14ac:dyDescent="0.25">
      <c r="X72" s="764"/>
      <c r="Y72" s="764"/>
      <c r="AB72" s="30"/>
    </row>
    <row r="73" spans="2:28" x14ac:dyDescent="0.25">
      <c r="X73" s="764"/>
      <c r="Y73" s="764"/>
    </row>
    <row r="74" spans="2:28" x14ac:dyDescent="0.25">
      <c r="X74" s="764"/>
      <c r="Y74" s="764"/>
    </row>
    <row r="75" spans="2:28" x14ac:dyDescent="0.25">
      <c r="X75" s="764"/>
      <c r="Y75" s="764"/>
    </row>
    <row r="76" spans="2:28" x14ac:dyDescent="0.25">
      <c r="X76" s="764"/>
      <c r="Y76" s="764"/>
    </row>
    <row r="77" spans="2:28" x14ac:dyDescent="0.25">
      <c r="X77" s="764"/>
      <c r="Y77" s="764"/>
    </row>
    <row r="78" spans="2:28" x14ac:dyDescent="0.25">
      <c r="X78" s="764"/>
      <c r="Y78" s="764"/>
    </row>
  </sheetData>
  <sheetProtection password="A656" sheet="1" formatCells="0" formatColumns="0" formatRows="0" selectLockedCells="1"/>
  <dataConsolidate link="1"/>
  <mergeCells count="347">
    <mergeCell ref="X73:Y73"/>
    <mergeCell ref="X74:Y74"/>
    <mergeCell ref="X75:Y75"/>
    <mergeCell ref="X76:Y76"/>
    <mergeCell ref="X77:Y77"/>
    <mergeCell ref="S59:T59"/>
    <mergeCell ref="X54:Y54"/>
    <mergeCell ref="X55:Y55"/>
    <mergeCell ref="X56:Y56"/>
    <mergeCell ref="X57:Y57"/>
    <mergeCell ref="X69:Y69"/>
    <mergeCell ref="X58:Y58"/>
    <mergeCell ref="X59:Y59"/>
    <mergeCell ref="X60:Y60"/>
    <mergeCell ref="X61:Y61"/>
    <mergeCell ref="X62:Y62"/>
    <mergeCell ref="X63:Y63"/>
    <mergeCell ref="X64:Y64"/>
    <mergeCell ref="X65:Y65"/>
    <mergeCell ref="X66:Y66"/>
    <mergeCell ref="X67:Y67"/>
    <mergeCell ref="X78:Y78"/>
    <mergeCell ref="G43:I43"/>
    <mergeCell ref="G44:I44"/>
    <mergeCell ref="G49:I49"/>
    <mergeCell ref="L52:M52"/>
    <mergeCell ref="L53:M53"/>
    <mergeCell ref="L58:M58"/>
    <mergeCell ref="X70:Y70"/>
    <mergeCell ref="X71:Y71"/>
    <mergeCell ref="X72:Y72"/>
    <mergeCell ref="L45:M45"/>
    <mergeCell ref="S45:T45"/>
    <mergeCell ref="S65:T65"/>
    <mergeCell ref="V62:W62"/>
    <mergeCell ref="S61:T61"/>
    <mergeCell ref="S62:T62"/>
    <mergeCell ref="S63:T63"/>
    <mergeCell ref="G66:I66"/>
    <mergeCell ref="G67:I67"/>
    <mergeCell ref="G68:I68"/>
    <mergeCell ref="V59:W59"/>
    <mergeCell ref="V48:W48"/>
    <mergeCell ref="V49:W49"/>
    <mergeCell ref="V46:W46"/>
    <mergeCell ref="G50:I50"/>
    <mergeCell ref="G48:I48"/>
    <mergeCell ref="G42:I42"/>
    <mergeCell ref="G45:I45"/>
    <mergeCell ref="G46:I46"/>
    <mergeCell ref="O42:P42"/>
    <mergeCell ref="L35:M35"/>
    <mergeCell ref="G35:I35"/>
    <mergeCell ref="G36:I36"/>
    <mergeCell ref="G37:I37"/>
    <mergeCell ref="C48:F48"/>
    <mergeCell ref="C49:F49"/>
    <mergeCell ref="C50:F50"/>
    <mergeCell ref="C52:F52"/>
    <mergeCell ref="S46:T46"/>
    <mergeCell ref="S54:T54"/>
    <mergeCell ref="C46:F46"/>
    <mergeCell ref="L48:M48"/>
    <mergeCell ref="O57:P57"/>
    <mergeCell ref="L57:M57"/>
    <mergeCell ref="O56:P56"/>
    <mergeCell ref="G56:I56"/>
    <mergeCell ref="G57:I57"/>
    <mergeCell ref="L46:M46"/>
    <mergeCell ref="O46:P46"/>
    <mergeCell ref="L49:M49"/>
    <mergeCell ref="S48:T48"/>
    <mergeCell ref="S49:T49"/>
    <mergeCell ref="S50:T50"/>
    <mergeCell ref="L50:M50"/>
    <mergeCell ref="L55:M55"/>
    <mergeCell ref="O55:P55"/>
    <mergeCell ref="L54:M54"/>
    <mergeCell ref="O49:P49"/>
    <mergeCell ref="D66:F66"/>
    <mergeCell ref="V43:W43"/>
    <mergeCell ref="D67:F67"/>
    <mergeCell ref="G59:I59"/>
    <mergeCell ref="G60:I60"/>
    <mergeCell ref="G61:I61"/>
    <mergeCell ref="G62:I62"/>
    <mergeCell ref="G63:I63"/>
    <mergeCell ref="G64:I64"/>
    <mergeCell ref="G55:I55"/>
    <mergeCell ref="O45:P45"/>
    <mergeCell ref="O48:P48"/>
    <mergeCell ref="S58:T58"/>
    <mergeCell ref="V64:W64"/>
    <mergeCell ref="O60:P60"/>
    <mergeCell ref="O59:P59"/>
    <mergeCell ref="O61:P61"/>
    <mergeCell ref="O62:P62"/>
    <mergeCell ref="V56:W56"/>
    <mergeCell ref="V57:W57"/>
    <mergeCell ref="V58:W58"/>
    <mergeCell ref="L63:M63"/>
    <mergeCell ref="L64:M64"/>
    <mergeCell ref="V61:W61"/>
    <mergeCell ref="C61:F61"/>
    <mergeCell ref="C62:F62"/>
    <mergeCell ref="C63:F63"/>
    <mergeCell ref="C64:F64"/>
    <mergeCell ref="O63:P63"/>
    <mergeCell ref="O64:P64"/>
    <mergeCell ref="C58:F58"/>
    <mergeCell ref="G58:I58"/>
    <mergeCell ref="G52:I52"/>
    <mergeCell ref="G53:I53"/>
    <mergeCell ref="G54:I54"/>
    <mergeCell ref="C56:F56"/>
    <mergeCell ref="C57:F57"/>
    <mergeCell ref="O58:P58"/>
    <mergeCell ref="L59:M59"/>
    <mergeCell ref="L60:M60"/>
    <mergeCell ref="L61:M61"/>
    <mergeCell ref="L62:M62"/>
    <mergeCell ref="L56:M56"/>
    <mergeCell ref="C53:F53"/>
    <mergeCell ref="C55:F55"/>
    <mergeCell ref="C59:F59"/>
    <mergeCell ref="C60:F60"/>
    <mergeCell ref="C54:F54"/>
    <mergeCell ref="F5:M6"/>
    <mergeCell ref="Q18:U18"/>
    <mergeCell ref="M15:P15"/>
    <mergeCell ref="M16:P16"/>
    <mergeCell ref="M17:P17"/>
    <mergeCell ref="M18:P18"/>
    <mergeCell ref="F13:U14"/>
    <mergeCell ref="C24:F24"/>
    <mergeCell ref="F15:H15"/>
    <mergeCell ref="S22:T22"/>
    <mergeCell ref="S24:T24"/>
    <mergeCell ref="O22:P22"/>
    <mergeCell ref="O24:P24"/>
    <mergeCell ref="B5:D6"/>
    <mergeCell ref="C22:F22"/>
    <mergeCell ref="G24:I24"/>
    <mergeCell ref="Q15:U15"/>
    <mergeCell ref="B18:C18"/>
    <mergeCell ref="B7:B10"/>
    <mergeCell ref="I18:L18"/>
    <mergeCell ref="B16:C16"/>
    <mergeCell ref="B17:C17"/>
    <mergeCell ref="H7:H8"/>
    <mergeCell ref="J7:M7"/>
    <mergeCell ref="B13:D14"/>
    <mergeCell ref="B15:C15"/>
    <mergeCell ref="L22:M22"/>
    <mergeCell ref="L24:M24"/>
    <mergeCell ref="F18:H18"/>
    <mergeCell ref="F17:H17"/>
    <mergeCell ref="F16:H16"/>
    <mergeCell ref="X27:Y27"/>
    <mergeCell ref="O27:P27"/>
    <mergeCell ref="V26:W26"/>
    <mergeCell ref="V27:W27"/>
    <mergeCell ref="X22:Y22"/>
    <mergeCell ref="X24:Y24"/>
    <mergeCell ref="X25:Y25"/>
    <mergeCell ref="W13:AA14"/>
    <mergeCell ref="W15:AA16"/>
    <mergeCell ref="Z27:AC36"/>
    <mergeCell ref="Z22:AC26"/>
    <mergeCell ref="S32:T32"/>
    <mergeCell ref="S33:T33"/>
    <mergeCell ref="S34:T34"/>
    <mergeCell ref="L33:M33"/>
    <mergeCell ref="G33:I33"/>
    <mergeCell ref="G34:I34"/>
    <mergeCell ref="J8:M8"/>
    <mergeCell ref="J9:M9"/>
    <mergeCell ref="I15:L15"/>
    <mergeCell ref="I16:L16"/>
    <mergeCell ref="S27:T27"/>
    <mergeCell ref="S25:T25"/>
    <mergeCell ref="S26:T26"/>
    <mergeCell ref="F7:G9"/>
    <mergeCell ref="V29:W29"/>
    <mergeCell ref="C29:F29"/>
    <mergeCell ref="G29:I29"/>
    <mergeCell ref="V22:W22"/>
    <mergeCell ref="V24:W24"/>
    <mergeCell ref="V25:W25"/>
    <mergeCell ref="L27:M27"/>
    <mergeCell ref="C25:F25"/>
    <mergeCell ref="C26:F26"/>
    <mergeCell ref="O29:P29"/>
    <mergeCell ref="Q16:U16"/>
    <mergeCell ref="L26:M26"/>
    <mergeCell ref="O25:P25"/>
    <mergeCell ref="O26:P26"/>
    <mergeCell ref="S29:T29"/>
    <mergeCell ref="G25:I25"/>
    <mergeCell ref="D68:F68"/>
    <mergeCell ref="S38:T38"/>
    <mergeCell ref="S39:T39"/>
    <mergeCell ref="S40:T40"/>
    <mergeCell ref="G69:I69"/>
    <mergeCell ref="O39:P39"/>
    <mergeCell ref="D69:F69"/>
    <mergeCell ref="S64:T64"/>
    <mergeCell ref="S55:T55"/>
    <mergeCell ref="S56:T56"/>
    <mergeCell ref="S57:T57"/>
    <mergeCell ref="O67:P67"/>
    <mergeCell ref="L68:M68"/>
    <mergeCell ref="O68:P68"/>
    <mergeCell ref="S66:T66"/>
    <mergeCell ref="S67:T67"/>
    <mergeCell ref="S68:T68"/>
    <mergeCell ref="L67:M67"/>
    <mergeCell ref="C38:F38"/>
    <mergeCell ref="C39:F39"/>
    <mergeCell ref="C44:F44"/>
    <mergeCell ref="C43:F43"/>
    <mergeCell ref="S69:T69"/>
    <mergeCell ref="L66:M66"/>
    <mergeCell ref="C42:F42"/>
    <mergeCell ref="O40:P40"/>
    <mergeCell ref="O41:P41"/>
    <mergeCell ref="L40:M40"/>
    <mergeCell ref="S42:T42"/>
    <mergeCell ref="S41:T41"/>
    <mergeCell ref="L41:M41"/>
    <mergeCell ref="L42:M42"/>
    <mergeCell ref="L43:M43"/>
    <mergeCell ref="O43:P43"/>
    <mergeCell ref="X48:Y48"/>
    <mergeCell ref="S53:T53"/>
    <mergeCell ref="L69:M69"/>
    <mergeCell ref="O69:P69"/>
    <mergeCell ref="V69:W69"/>
    <mergeCell ref="V66:W66"/>
    <mergeCell ref="V67:W67"/>
    <mergeCell ref="V68:W68"/>
    <mergeCell ref="V60:W60"/>
    <mergeCell ref="O50:P50"/>
    <mergeCell ref="O52:P52"/>
    <mergeCell ref="O53:P53"/>
    <mergeCell ref="O54:P54"/>
    <mergeCell ref="V63:W63"/>
    <mergeCell ref="X53:Y53"/>
    <mergeCell ref="S60:T60"/>
    <mergeCell ref="O66:P66"/>
    <mergeCell ref="V53:W53"/>
    <mergeCell ref="V54:W54"/>
    <mergeCell ref="V55:W55"/>
    <mergeCell ref="S52:T52"/>
    <mergeCell ref="V50:W50"/>
    <mergeCell ref="V52:W52"/>
    <mergeCell ref="X68:Y68"/>
    <mergeCell ref="V32:W32"/>
    <mergeCell ref="S36:T36"/>
    <mergeCell ref="S43:T43"/>
    <mergeCell ref="S44:T44"/>
    <mergeCell ref="V45:W45"/>
    <mergeCell ref="X45:Y45"/>
    <mergeCell ref="X46:Y46"/>
    <mergeCell ref="L44:M44"/>
    <mergeCell ref="X47:Y47"/>
    <mergeCell ref="V34:W34"/>
    <mergeCell ref="V35:W35"/>
    <mergeCell ref="V36:W36"/>
    <mergeCell ref="V37:W37"/>
    <mergeCell ref="V38:W38"/>
    <mergeCell ref="V39:W39"/>
    <mergeCell ref="V40:W40"/>
    <mergeCell ref="V41:W41"/>
    <mergeCell ref="V42:W42"/>
    <mergeCell ref="O33:P33"/>
    <mergeCell ref="O44:P44"/>
    <mergeCell ref="S35:T35"/>
    <mergeCell ref="O34:P34"/>
    <mergeCell ref="O35:P35"/>
    <mergeCell ref="O36:P36"/>
    <mergeCell ref="L31:M31"/>
    <mergeCell ref="L25:M25"/>
    <mergeCell ref="I17:L17"/>
    <mergeCell ref="Q17:U17"/>
    <mergeCell ref="S31:T31"/>
    <mergeCell ref="O31:P31"/>
    <mergeCell ref="G31:I31"/>
    <mergeCell ref="L29:M29"/>
    <mergeCell ref="B20:Y21"/>
    <mergeCell ref="G27:I27"/>
    <mergeCell ref="C27:F27"/>
    <mergeCell ref="G22:I22"/>
    <mergeCell ref="X29:Y29"/>
    <mergeCell ref="G26:I26"/>
    <mergeCell ref="C31:F31"/>
    <mergeCell ref="X28:Y28"/>
    <mergeCell ref="V31:W31"/>
    <mergeCell ref="X23:Y23"/>
    <mergeCell ref="C35:F35"/>
    <mergeCell ref="C36:F36"/>
    <mergeCell ref="C37:F37"/>
    <mergeCell ref="G32:I32"/>
    <mergeCell ref="L34:M34"/>
    <mergeCell ref="X52:Y52"/>
    <mergeCell ref="X38:Y38"/>
    <mergeCell ref="X44:Y44"/>
    <mergeCell ref="X33:Y33"/>
    <mergeCell ref="X34:Y34"/>
    <mergeCell ref="X35:Y35"/>
    <mergeCell ref="X36:Y36"/>
    <mergeCell ref="X37:Y37"/>
    <mergeCell ref="X39:Y39"/>
    <mergeCell ref="X40:Y40"/>
    <mergeCell ref="X41:Y41"/>
    <mergeCell ref="X42:Y42"/>
    <mergeCell ref="X49:Y49"/>
    <mergeCell ref="X50:Y50"/>
    <mergeCell ref="X51:Y51"/>
    <mergeCell ref="L32:M32"/>
    <mergeCell ref="O38:P38"/>
    <mergeCell ref="O32:P32"/>
    <mergeCell ref="S37:T37"/>
    <mergeCell ref="Z37:AC44"/>
    <mergeCell ref="X30:Y30"/>
    <mergeCell ref="X31:Y31"/>
    <mergeCell ref="X26:Y26"/>
    <mergeCell ref="W17:AA17"/>
    <mergeCell ref="C45:F45"/>
    <mergeCell ref="C40:F40"/>
    <mergeCell ref="C41:F41"/>
    <mergeCell ref="X43:Y43"/>
    <mergeCell ref="C32:F32"/>
    <mergeCell ref="C33:F33"/>
    <mergeCell ref="C34:F34"/>
    <mergeCell ref="V44:W44"/>
    <mergeCell ref="X32:Y32"/>
    <mergeCell ref="G38:I38"/>
    <mergeCell ref="G39:I39"/>
    <mergeCell ref="G40:I40"/>
    <mergeCell ref="L38:M38"/>
    <mergeCell ref="L39:M39"/>
    <mergeCell ref="G41:I41"/>
    <mergeCell ref="L36:M36"/>
    <mergeCell ref="L37:M37"/>
    <mergeCell ref="V33:W33"/>
    <mergeCell ref="O37:P37"/>
  </mergeCells>
  <conditionalFormatting sqref="I2">
    <cfRule type="expression" dxfId="96" priority="55">
      <formula>WAS_STATUS="Empty"</formula>
    </cfRule>
    <cfRule type="expression" dxfId="95" priority="59">
      <formula>WAS_STATUS="Invalid"</formula>
    </cfRule>
    <cfRule type="expression" dxfId="94" priority="60">
      <formula>WAS_STATUS="VALID"</formula>
    </cfRule>
  </conditionalFormatting>
  <conditionalFormatting sqref="R24:R27 R29 R31:R41">
    <cfRule type="expression" dxfId="93" priority="57">
      <formula>IF(WAS_OVE_STATUS="All", TRUE)</formula>
    </cfRule>
  </conditionalFormatting>
  <conditionalFormatting sqref="R42:R43">
    <cfRule type="expression" dxfId="92" priority="38">
      <formula>IF(WAS_OVE_STATUS="All", TRUE)</formula>
    </cfRule>
  </conditionalFormatting>
  <conditionalFormatting sqref="R44:R45">
    <cfRule type="expression" dxfId="91" priority="37">
      <formula>IF(WAS_OVE_STATUS="All", TRUE)</formula>
    </cfRule>
  </conditionalFormatting>
  <conditionalFormatting sqref="R48:R49">
    <cfRule type="expression" dxfId="90" priority="36">
      <formula>IF(WAS_OVE_STATUS="All", TRUE)</formula>
    </cfRule>
  </conditionalFormatting>
  <conditionalFormatting sqref="R50">
    <cfRule type="expression" dxfId="89" priority="35">
      <formula>IF(WAS_OVE_STATUS="All", TRUE)</formula>
    </cfRule>
  </conditionalFormatting>
  <conditionalFormatting sqref="R52">
    <cfRule type="expression" dxfId="88" priority="34">
      <formula>IF(WAS_OVE_STATUS="All", TRUE)</formula>
    </cfRule>
  </conditionalFormatting>
  <conditionalFormatting sqref="R53">
    <cfRule type="expression" dxfId="87" priority="33">
      <formula>IF(WAS_OVE_STATUS="All", TRUE)</formula>
    </cfRule>
  </conditionalFormatting>
  <conditionalFormatting sqref="R54">
    <cfRule type="expression" dxfId="86" priority="30">
      <formula>IF(WAS_OVE_STATUS="All", TRUE)</formula>
    </cfRule>
  </conditionalFormatting>
  <conditionalFormatting sqref="R55">
    <cfRule type="expression" dxfId="85" priority="29">
      <formula>IF(WAS_OVE_STATUS="All", TRUE)</formula>
    </cfRule>
  </conditionalFormatting>
  <conditionalFormatting sqref="R56">
    <cfRule type="expression" dxfId="84" priority="28">
      <formula>IF(WAS_OVE_STATUS="All", TRUE)</formula>
    </cfRule>
  </conditionalFormatting>
  <conditionalFormatting sqref="R57">
    <cfRule type="expression" dxfId="83" priority="27">
      <formula>IF(WAS_OVE_STATUS="All", TRUE)</formula>
    </cfRule>
  </conditionalFormatting>
  <conditionalFormatting sqref="R58">
    <cfRule type="expression" dxfId="82" priority="26">
      <formula>IF(WAS_OVE_STATUS="All", TRUE)</formula>
    </cfRule>
  </conditionalFormatting>
  <conditionalFormatting sqref="R59">
    <cfRule type="expression" dxfId="81" priority="25">
      <formula>IF(WAS_OVE_STATUS="All", TRUE)</formula>
    </cfRule>
  </conditionalFormatting>
  <conditionalFormatting sqref="R60">
    <cfRule type="expression" dxfId="80" priority="24">
      <formula>IF(WAS_OVE_STATUS="All", TRUE)</formula>
    </cfRule>
  </conditionalFormatting>
  <conditionalFormatting sqref="R61">
    <cfRule type="expression" dxfId="79" priority="23">
      <formula>IF(WAS_OVE_STATUS="All", TRUE)</formula>
    </cfRule>
  </conditionalFormatting>
  <conditionalFormatting sqref="R62">
    <cfRule type="expression" dxfId="78" priority="22">
      <formula>IF(WAS_OVE_STATUS="All", TRUE)</formula>
    </cfRule>
  </conditionalFormatting>
  <conditionalFormatting sqref="R63">
    <cfRule type="expression" dxfId="77" priority="21">
      <formula>IF(WAS_OVE_STATUS="All", TRUE)</formula>
    </cfRule>
  </conditionalFormatting>
  <conditionalFormatting sqref="R64">
    <cfRule type="expression" dxfId="76" priority="20">
      <formula>IF(WAS_OVE_STATUS="All", TRUE)</formula>
    </cfRule>
  </conditionalFormatting>
  <conditionalFormatting sqref="R46">
    <cfRule type="expression" dxfId="75" priority="18">
      <formula>IF(WAS_OVE_STATUS="All", TRUE)</formula>
    </cfRule>
  </conditionalFormatting>
  <conditionalFormatting sqref="R69">
    <cfRule type="expression" dxfId="74" priority="14">
      <formula>IF(WAS_OVE_STATUS="All", TRUE)</formula>
    </cfRule>
  </conditionalFormatting>
  <conditionalFormatting sqref="R66">
    <cfRule type="expression" dxfId="73" priority="17">
      <formula>IF(WAS_OVE_STATUS="All", TRUE)</formula>
    </cfRule>
  </conditionalFormatting>
  <conditionalFormatting sqref="R67">
    <cfRule type="expression" dxfId="72" priority="16">
      <formula>IF(WAS_OVE_STATUS="All", TRUE)</formula>
    </cfRule>
  </conditionalFormatting>
  <conditionalFormatting sqref="R68">
    <cfRule type="expression" dxfId="71" priority="15">
      <formula>IF(WAS_OVE_STATUS="All", TRUE)</formula>
    </cfRule>
  </conditionalFormatting>
  <conditionalFormatting sqref="X24:X69">
    <cfRule type="expression" dxfId="70" priority="11">
      <formula>X24="Waste type reported"</formula>
    </cfRule>
  </conditionalFormatting>
  <conditionalFormatting sqref="X23">
    <cfRule type="expression" dxfId="69" priority="6">
      <formula>X23="Values Reported"</formula>
    </cfRule>
  </conditionalFormatting>
  <conditionalFormatting sqref="X24:Y69">
    <cfRule type="expression" dxfId="68" priority="3">
      <formula>X24="Use both dropdowns to select item"</formula>
    </cfRule>
    <cfRule type="expression" dxfId="67" priority="4">
      <formula>X24="LOCODE not valid"</formula>
    </cfRule>
    <cfRule type="expression" dxfId="66" priority="5">
      <formula>X24="Amount or Unit missing"</formula>
    </cfRule>
  </conditionalFormatting>
  <dataValidations xWindow="1341" yWindow="553" count="32">
    <dataValidation type="date" operator="greaterThanOrEqual" allowBlank="1" showInputMessage="1" showErrorMessage="1" errorTitle="Invalid Date" error="Invalid date.Should be in Excel date format" promptTitle="Last port delivered date" prompt="Date of last waste delivery_x000a__x000a_Invalid date. Try inserting the date in the same format as your computer system's date format._x000a_" sqref="D17" xr:uid="{8A04186C-B4C6-4B3C-AEBD-81E982BDD92C}">
      <formula1>1</formula1>
    </dataValidation>
    <dataValidation type="list" allowBlank="1" showInputMessage="1" showErrorMessage="1" error="Choose from dropdown menu." promptTitle="Waste delivery status" prompt="The amount of waste to be delivered_x000a__x000a_Choose from dropdown menu" sqref="D18" xr:uid="{40C21815-77DA-4020-98CD-E310A3AE7E19}">
      <formula1>Waste_delivery_status</formula1>
    </dataValidation>
    <dataValidation type="custom" operator="equal" allowBlank="1" showDropDown="1" showInputMessage="1" showErrorMessage="1" error="Invalid LOCODE: must be 5 characters of letters and numbers with no spaces." promptTitle="Last port delivered" prompt="Port where waste was last delivered_x000a__x000a_Use the LOCODE lookup to find the correct code_x000a__x000a_Must be valid LOCODE" sqref="D15" xr:uid="{218545F3-9B49-4509-B5AF-4651011B8186}">
      <formula1>IFERROR(AND(SUMPRODUCT(SEARCH(MID(D15,ROW(INDIRECT("1:"&amp;LEN(D15))),1),"abcdefghijklmnopqrstuvwxyz0123456789")),LEN(D15)=5),FALSE)</formula1>
    </dataValidation>
    <dataValidation allowBlank="1" showDropDown="1" showInputMessage="1" errorTitle="Error" error="Invalid LOCODE. Use the 'LOCODE lookup' on the top right to find the correct LOCODE." promptTitle="Port name" sqref="S24:S69" xr:uid="{8EFEA743-257D-4A94-A965-5F0779DD57D4}"/>
    <dataValidation type="textLength" allowBlank="1" showInputMessage="1" showErrorMessage="1" promptTitle="Ship name" prompt="Name of the vessel_x000a__x000a_Accepted characters are uppercase (A-Z) and lowercase letters (a-z), numerals (0-9) and the special characters dots (&quot;.&quot;), dashes (&quot;-&quot;) and single apostrophe (&quot;'&quot;)_x000a__x000a__x000a_Max 35 characters" sqref="D8" xr:uid="{B727F76F-8DD8-4818-A482-57C53C6509D7}">
      <formula1>0</formula1>
      <formula2>35</formula2>
    </dataValidation>
    <dataValidation type="list" allowBlank="1" showInputMessage="1" showErrorMessage="1" promptTitle="Flag state" prompt="Select country from drop down list." sqref="D12" xr:uid="{AE5C43BB-EF92-43C8-B645-62788A014CF6}">
      <formula1>REF_COUNTRIES</formula1>
    </dataValidation>
    <dataValidation type="custom" allowBlank="1" showInputMessage="1" errorTitle="Error" error="IMO must be a 7 digit number" promptTitle="IMO number" prompt="IMO number of the vessel_x000a__x000a_Valid 7 digit number in correct IMO format" sqref="D7" xr:uid="{841685F5-8B75-4776-9AB1-A7C47031B6F2}">
      <formula1>IF(ISBLANK(D7), TRUE(),IFERROR(IF(AND(LEN(TRIM(D7))=7,EXACT(MOD(RIGHT(LEFT(D7,1),1)*7+RIGHT(LEFT(D7,2),1)*6+RIGHT(LEFT(D7,3),1)*5+RIGHT(LEFT(D7,4),1)*4+RIGHT(LEFT(D7,5),1)*3+RIGHT(LEFT(D7,6),1)*2,10),RIGHT(LEFT(D7,7)))),TRUE(),FALSE()),FALSE()))</formula1>
    </dataValidation>
    <dataValidation type="whole" allowBlank="1" showInputMessage="1" showErrorMessage="1" promptTitle="MMSI number" prompt="MMSI number of the vessel_x000a__x000a_Must be a 9 digit number" sqref="D10" xr:uid="{FAF440BF-EC39-4950-BE4B-0C6133692BA6}">
      <formula1>100000000</formula1>
      <formula2>999999999</formula2>
    </dataValidation>
    <dataValidation type="textLength" allowBlank="1" showInputMessage="1" showErrorMessage="1" promptTitle="Call sign" prompt="Call sign of the vessel_x000a__x000a_Max 7 characters" sqref="D9" xr:uid="{F3221797-D8AB-4F7A-8AF4-AC34514414B1}">
      <formula1>0</formula1>
      <formula2>7</formula2>
    </dataValidation>
    <dataValidation type="custom" operator="equal" showDropDown="1" showInputMessage="1" showErrorMessage="1" error="Invalid LOCODE: must be 5 characters of letters and numbers with no spaces." prompt="Search for LOCODE using the selector above or insert the 5 character code here." sqref="Q17:U17 I17:L17" xr:uid="{58205EE5-8112-4C20-B8F0-B9EABF8016F5}">
      <formula1>IFERROR(AND(SUMPRODUCT(SEARCH(MID(I17,ROW(INDIRECT("1:"&amp;LEN(I17))),1),"abcdefghijklmnopqrstuvwxyz0123456789")),LEN(I17)=5),FALSE)</formula1>
    </dataValidation>
    <dataValidation type="custom" operator="lessThanOrEqual" allowBlank="1" showInputMessage="1" showErrorMessage="1" errorTitle="Invalid Input" error="Must be a positive number, less than 9,999,999,999 and have max of 3 decimal places." promptTitle="Waste to be delivered" prompt="The amount of waste which will be delivered at the port of call_x000a__x000a_Must be a positive number, less than 9,999,999,999,999 and have max of 3 decimal places" sqref="J28 J30 J47 J51 J65" xr:uid="{007A1D5F-C858-493F-AED6-9DE6D3BE0716}">
      <formula1>OR(ISBLANK(J28),AND(ISNUMBER(J28),LEN(J28)-(IF(ISNUMBER(SEARCH(".",J28)),SEARCH(".",J28),LEN(J28)))&lt;=3,J28&lt;=9999999999999,J28&gt;=0))</formula1>
    </dataValidation>
    <dataValidation type="custom" operator="lessThanOrEqual" allowBlank="1" showInputMessage="1" showErrorMessage="1" errorTitle="Invalid Input" error="Number must be less than 9,999,999,999 and have max 3 decimal places." promptTitle="Waste capacity" prompt="The vessels capacity for storing waste of this type_x000a__x000a_Must be a positive number, less than 9,999,999,999,999 and have max of 3 decimal places" sqref="L65:M65 L51:M51 L47:M47 L30:M30 L28:M28" xr:uid="{F13411A2-876F-4DB4-B6D8-26902C3F5B3B}">
      <formula1>OR(ISBLANK(L28),AND(ISNUMBER(L28),LEN(L28)-(IF(ISNUMBER(SEARCH(".",L28)),SEARCH(".",L28),LEN(L28)))&lt;=3,L28&lt;=9999999999999,L28&gt;=0))</formula1>
    </dataValidation>
    <dataValidation type="custom" operator="lessThanOrEqual" allowBlank="1" showInputMessage="1" showErrorMessage="1" errorTitle="Invalid Input" error="Must be a positive number, less than 9,999,999,999 and have max of 3 decimal places." promptTitle="Estimated waste creation" prompt="The estimated quantity of waste which will be created before arrival at the port of call_x000a__x000a_Must be a positive number, less than 9,999,999,999,999 and have max of 3 decimal places" sqref="U65 U51 U47 U30 U28" xr:uid="{9D28A746-9D1F-42B4-A3C6-408960D8E1AB}">
      <formula1>OR(ISBLANK(U28),AND(ISNUMBER(U28),LEN(U28)-(IF(ISNUMBER(SEARCH(".",U28)),SEARCH(".",U28),LEN(U28)))&lt;=3,U28&lt;=9999999999999,U28&gt;=0))</formula1>
    </dataValidation>
    <dataValidation type="list" showInputMessage="1" showErrorMessage="1" error="Select from dropdown" promptTitle="Waste creation unit" prompt="Unit of measurement for estimated waste creation_x000a__x000a_Choose from dropdown menu" sqref="V24:W69" xr:uid="{CE33D034-8238-4D48-AAA7-CD695B199EA2}">
      <formula1>Units_description</formula1>
    </dataValidation>
    <dataValidation type="custom" operator="equal" allowBlank="1" showDropDown="1" showInputMessage="1" showErrorMessage="1" error="Invalid LOCODE: must be 5 characters of letters and numbers with no spaces." promptTitle="Remaining waste delivery port" prompt="Port where vessels remaining waste will be delivered_x000a__x000a_Use the LOCODE lookup to find the correct code_x000a__x000a_Must be valid LOCODE" sqref="R24:R69" xr:uid="{131B13E4-DA9C-4404-9013-962E3C8CB981}">
      <formula1>IFERROR(AND(SUMPRODUCT(SEARCH(MID(R24,ROW(INDIRECT("1:"&amp;LEN(R24))),1),"abcdefghijklmnopqrstuvwxyz0123456789")),LEN(R24)=5),FALSE)</formula1>
    </dataValidation>
    <dataValidation type="list" allowBlank="1" showInputMessage="1" showErrorMessage="1" promptTitle="Flag state" prompt="Flag state of the vessel_x000a__x000a_Choose from dropdown menu" sqref="D11" xr:uid="{343B213A-7C80-487D-87D2-93CC44366F0A}">
      <formula1>REF_COUNTRIES</formula1>
    </dataValidation>
    <dataValidation type="custom" operator="equal" allowBlank="1" showDropDown="1" showInputMessage="1" showErrorMessage="1" error="Invalid LOCODE: must be 5 characters of letters and numbers with no spaces" promptTitle="Port LOCODE" prompt="Name of the port where this form was completed_x000a__x000a_At least one location element (LOCODE, Location name) must be provided_x000a__x000a_Must be valid LOCODE" sqref="J7:M7" xr:uid="{B07E23F4-E473-4782-9797-921274D9E7DC}">
      <formula1>IFERROR(AND(SUMPRODUCT(SEARCH(MID(J7,ROW(INDIRECT("1:"&amp;LEN(J7))),1),"abcdefghijklmnopqrstuvwxyz0123456789")),LEN(J7)=5),FALSE)</formula1>
    </dataValidation>
    <dataValidation type="textLength" operator="lessThanOrEqual" allowBlank="1" showInputMessage="1" showErrorMessage="1" error="Max 50 characters_x000a_" promptTitle="Location name" prompt="Location at time of form completion_x000a__x000a_At least one location element (LOCODE, Latitude/Longitude, Location name) must be provided_x000a__x000a__x000a_Location name must have max 50 characters" sqref="J9:M9" xr:uid="{9D9A1155-74EF-47FA-A7D9-C4AE4A45A1F6}">
      <formula1>50</formula1>
    </dataValidation>
    <dataValidation type="date" allowBlank="1" showInputMessage="1" showErrorMessage="1" errorTitle="Invalid Date" error="Invalid date. Try inserting the date in the same format as your computer system's date format. Should be in Excel datetime format" promptTitle="ETA to next port" prompt="The ETA at the next port after the port of call_x000a__x000a_Must be after the ETA to port of call_x000a__x000a_Try inserting the date in the same format as your computer system's datetime format._x000a_ " sqref="Q18:U18" xr:uid="{7926759D-EB7E-45E7-9C04-DAE5D3B2A213}">
      <formula1>1</formula1>
      <formula2>72686</formula2>
    </dataValidation>
    <dataValidation type="textLength" allowBlank="1" showInputMessage="1" showErrorMessage="1" error="Max 255 characters." promptTitle="Waste type description" prompt="Description of waste_x000a__x000a_Only required for some waste types. Required if cell is white_x000a__x000a_Max 255 characters" sqref="G24:G26 H65:I65 H47:I47 H51:I51 H30:I30 G50:I50 H28:I28 G31:G41 G42:I42 G29:I29 G43:G44 G45:I46 G48:I48 G49 G52:I52 G53:G55 G56:I64 G66:I69 G27:I27" xr:uid="{3BC742DC-A3F6-4281-BA19-C1529129614A}">
      <formula1>0</formula1>
      <formula2>255</formula2>
    </dataValidation>
    <dataValidation type="list" showInputMessage="1" showErrorMessage="1" error="Select from dropdown" promptTitle="Waste to be delivered unit" prompt="Unit of measurement for waste to be delivered_x000a__x000a_Choose from dropdown menu" sqref="K24:K69" xr:uid="{CA22642E-9D19-487D-A863-FA0245203474}">
      <formula1>Units_description</formula1>
    </dataValidation>
    <dataValidation type="list" showInputMessage="1" showErrorMessage="1" error="Select from dropdown" promptTitle="Waste capacity unit" prompt="Unit of measurement for waste capacity_x000a__x000a_Choose from dropdown menu" sqref="N24:N69" xr:uid="{2BC9C571-B1C6-4548-BA50-20C7C2B3A06F}">
      <formula1>Units_description</formula1>
    </dataValidation>
    <dataValidation type="custom" operator="lessThanOrEqual" allowBlank="1" showInputMessage="1" showErrorMessage="1" errorTitle="Invalid Input" error="Must be a positive number, less than 9,999,999,999 and have max of 3 decimal places." promptTitle="Waste retained" prompt="The quantity of waste which will be retained aboard the vessel_x000a__x000a_Must be a positive number, less than 9,999,999,999,999 and have max of 3 decimal places" sqref="O28:P28 O30:P30 O47:P47 O51:P51 O65:P65" xr:uid="{5CA6D79A-98F2-402C-B18A-21C084361667}">
      <formula1>OR(ISBLANK(O28),AND(ISNUMBER(O28),LEN(O28)-(IF(ISNUMBER(SEARCH(".",O28)),SEARCH(".",O28),LEN(O28)))&lt;=3,O28&lt;=9999999999999,O28&gt;=0))</formula1>
    </dataValidation>
    <dataValidation type="list" showInputMessage="1" showErrorMessage="1" error="Select from dropdown" promptTitle="Waste retained unit" prompt="Unit of measurement for waste retained_x000a__x000a_Choose from dropdown menu" sqref="Q24:Q69" xr:uid="{048C096D-68C9-45E3-AFBA-0BEE576EE15F}">
      <formula1>Units_description</formula1>
    </dataValidation>
    <dataValidation errorStyle="warning" allowBlank="1" errorTitle="Warning" error="Invalid waste type code" promptTitle="Waste type code" prompt="Select waste category and waste type to find the correct waste type code" sqref="G51 G28 G47 G30 G65" xr:uid="{2CBC8DBF-758E-4729-8E77-946687EE812D}"/>
    <dataValidation type="list" allowBlank="1" showInputMessage="1" showErrorMessage="1" error="This field can only be populated after the ‘Waste Category’ has been selected_x000a__x000a_Choose from dropdown menu." prompt="The specific type of waste to be delivered_x000a__x000a_This field can only be populated after the ‘Waste Category’ has been selected" sqref="D66:F69" xr:uid="{FE1D5E4E-46C0-4F36-AC5A-F25BCE06024D}">
      <formula1>INDIRECT(C66)</formula1>
    </dataValidation>
    <dataValidation type="list" allowBlank="1" showInputMessage="1" showErrorMessage="1" error="Choose from dropdown menu_x000a_" promptTitle="Waste category" prompt="The general category of the waste to be delivered _x000a__x000a_To update this field after a 'Waste type' has been selected delete the 'Waste type' field for this row_x000a__x000a_Choose from dropdown menu" sqref="C66:C69" xr:uid="{E704B9A4-57CF-49D5-9FD0-FD36A98CCC25}">
      <formula1>Waste_Categories</formula1>
    </dataValidation>
    <dataValidation type="custom" operator="lessThanOrEqual" allowBlank="1" showInputMessage="1" showErrorMessage="1" errorTitle="Invalid Input" error="Must be a positive number, less than 9,999,999 and have max of 3 decimal places." promptTitle="Waste to be delivered" prompt="The amount of waste which will be delivered at the port of call_x000a__x000a_Must be a positive number, less than 9,999,999 and have max of 3 decimal places" sqref="J66:J69 J52:J64 J48:J50 J31:J46 J29 J24:J27" xr:uid="{887B13D9-B629-4FDB-A8A7-37CA038A6E48}">
      <formula1>OR(ISBLANK(J24),AND(ISNUMBER(J24),LEN(J24)-(IF(ISNUMBER(SEARCH(".",J24)),SEARCH(".",J24),LEN(J24)))&lt;=3,J24&lt;=9999999,J24&gt;=0))</formula1>
    </dataValidation>
    <dataValidation type="custom" operator="lessThanOrEqual" allowBlank="1" showInputMessage="1" showErrorMessage="1" errorTitle="Invalid Input" error="Number must be less than 9,999,999 and have max 3 decimal places." promptTitle="Waste capacity" prompt="The vessels capacity for storing waste of this type_x000a__x000a_Must be a positive number, less than 9,999,999 and have max of 3 decimal places" sqref="L24:M27 L29:M29 L31:M46 L48:M50 L52:M64 L66:M69" xr:uid="{C03851BE-DFEE-46F1-B647-0761F967D2D9}">
      <formula1>OR(ISBLANK(L24),AND(ISNUMBER(L24),LEN(L24)-(IF(ISNUMBER(SEARCH(".",L24)),SEARCH(".",L24),LEN(L24)))&lt;=3,L24&lt;=9999999,L24&gt;=0))</formula1>
    </dataValidation>
    <dataValidation type="custom" operator="lessThanOrEqual" allowBlank="1" showInputMessage="1" showErrorMessage="1" errorTitle="Invalid Input" error="Must be a positive number, less than 9,999,999 and have max of 3 decimal places." promptTitle="Waste retained" prompt="The quantity of waste which will be retained aboard the vessel_x000a__x000a_Must be a positive number, less than 9,999,999 and have max of 3 decimal places" sqref="O66:P69 O52:P64 O48:P50 O31:P46 O29:P29 O24:P27" xr:uid="{820601D9-88A3-40B0-98C1-86910DE42CDE}">
      <formula1>OR(ISBLANK(O24),AND(ISNUMBER(O24),LEN(O24)-(IF(ISNUMBER(SEARCH(".",O24)),SEARCH(".",O24),LEN(O24)))&lt;=3,O24&lt;=9999999,O24&gt;=0))</formula1>
    </dataValidation>
    <dataValidation type="custom" operator="lessThanOrEqual" allowBlank="1" showInputMessage="1" showErrorMessage="1" errorTitle="Invalid Input" error="Must be a positive number, less than 9,999,999 and have max of 3 decimal places." promptTitle="Estimated waste creation" prompt="The estimated quantity of waste which will be created before arrival at the port of call_x000a__x000a_Must be a positive number, less than 9,999,999 and have max of 3 decimal places" sqref="U24:U27 U29 U31:U46 U48:U50 U52:U64 U66:U69" xr:uid="{5B1C316B-C67E-4C8B-A7A9-D6CD709DE954}">
      <formula1>OR(ISBLANK(U24),AND(ISNUMBER(U24),LEN(U24)-(IF(ISNUMBER(SEARCH(".",U24)),SEARCH(".",U24),LEN(U24)))&lt;=3,U24&lt;=9999999,U24&gt;=0))</formula1>
    </dataValidation>
    <dataValidation type="date" allowBlank="1" showInputMessage="1" showErrorMessage="1" errorTitle="Invalid Date" error="Invalid date. Try inserting the date in the same format as your computer system's date format. Should be in Excel datetime format" promptTitle="ETD from last port" prompt="The expected time of departure from the last port_x000a__x000a_Must be less than ETA to port of call_x000a__x000a_Try inserting the date in the same format as your computer system's datetime format." sqref="I18:L18" xr:uid="{6960F080-A224-4FB4-A739-4D748CEE8BCF}">
      <formula1>1</formula1>
      <formula2>72686</formula2>
    </dataValidation>
  </dataValidations>
  <pageMargins left="0.23622047244094488" right="0.23622047244094488" top="0.39370078740157483" bottom="0.39370078740157483" header="0.31496062992125984" footer="0.31496062992125984"/>
  <pageSetup paperSize="9" scale="72"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9" id="{03D3E43A-AE8F-4B61-9243-F3C408E80C5C}">
            <xm:f>Validator!$D59=FALSE</xm:f>
            <x14:dxf>
              <fill>
                <patternFill>
                  <bgColor rgb="FFFF0000"/>
                </patternFill>
              </fill>
            </x14:dxf>
          </x14:cfRule>
          <x14:cfRule type="expression" priority="42" id="{704D87F8-C1F3-4DE1-9B77-2815F72F1F2C}">
            <xm:f>Validator!$D$11=FALSE</xm:f>
            <x14:dxf>
              <fill>
                <patternFill>
                  <bgColor rgb="FFFF0000"/>
                </patternFill>
              </fill>
            </x14:dxf>
          </x14:cfRule>
          <xm:sqref>B29</xm:sqref>
        </x14:conditionalFormatting>
        <x14:conditionalFormatting xmlns:xm="http://schemas.microsoft.com/office/excel/2006/main">
          <x14:cfRule type="expression" priority="8" id="{91179C48-2286-436D-B169-BA1AAB2120C8}">
            <xm:f>Validator!$D61=FALSE</xm:f>
            <x14:dxf>
              <fill>
                <patternFill>
                  <bgColor rgb="FFFF0000"/>
                </patternFill>
              </fill>
            </x14:dxf>
          </x14:cfRule>
          <x14:cfRule type="expression" priority="41" id="{46E7E1AF-9536-4F0C-A6AC-E7B4BE026FA1}">
            <xm:f>Validator!$D12=FALSE</xm:f>
            <x14:dxf>
              <fill>
                <patternFill>
                  <bgColor rgb="FFFF0000"/>
                </patternFill>
              </fill>
            </x14:dxf>
          </x14:cfRule>
          <xm:sqref>B48:B50 B52:B64 B31:B46</xm:sqref>
        </x14:conditionalFormatting>
        <x14:conditionalFormatting xmlns:xm="http://schemas.microsoft.com/office/excel/2006/main">
          <x14:cfRule type="expression" priority="7" id="{8DA67596-706A-42ED-903B-0DDAFCF4EB55}">
            <xm:f>Validator!$D96=FALSE</xm:f>
            <x14:dxf>
              <fill>
                <patternFill>
                  <bgColor rgb="FFFF0000"/>
                </patternFill>
              </fill>
            </x14:dxf>
          </x14:cfRule>
          <x14:cfRule type="expression" priority="12" id="{5A974127-F9B6-41A2-8AD3-CA0047526348}">
            <xm:f>Validator!$D46=FALSE</xm:f>
            <x14:dxf>
              <fill>
                <patternFill>
                  <bgColor rgb="FFFF0000"/>
                </patternFill>
              </fill>
            </x14:dxf>
          </x14:cfRule>
          <xm:sqref>B66:B69</xm:sqref>
        </x14:conditionalFormatting>
        <x14:conditionalFormatting xmlns:xm="http://schemas.microsoft.com/office/excel/2006/main">
          <x14:cfRule type="expression" priority="1" id="{5E2AF8B6-DE53-495F-B1DF-FBD89CE73737}">
            <xm:f>Validator!$D7=FALSE</xm:f>
            <x14:dxf>
              <fill>
                <patternFill>
                  <bgColor rgb="FFFF0000"/>
                </patternFill>
              </fill>
            </x14:dxf>
          </x14:cfRule>
          <xm:sqref>B24:B27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F0"/>
    <pageSetUpPr fitToPage="1"/>
  </sheetPr>
  <dimension ref="A1:AM265"/>
  <sheetViews>
    <sheetView zoomScale="80" zoomScaleNormal="80" workbookViewId="0">
      <pane ySplit="3" topLeftCell="A4" activePane="bottomLeft" state="frozen"/>
      <selection activeCell="A2" sqref="A2"/>
      <selection pane="bottomLeft" activeCell="C14" sqref="C14"/>
    </sheetView>
  </sheetViews>
  <sheetFormatPr defaultColWidth="9.1796875" defaultRowHeight="12.5" x14ac:dyDescent="0.25"/>
  <cols>
    <col min="1" max="1" width="2.453125" style="36" customWidth="1"/>
    <col min="2" max="2" width="9.1796875" style="84" customWidth="1"/>
    <col min="3" max="3" width="14.26953125" style="84" customWidth="1"/>
    <col min="4" max="4" width="11.1796875" style="84" customWidth="1"/>
    <col min="5" max="5" width="9.26953125" style="84" customWidth="1"/>
    <col min="6" max="6" width="9.7265625" style="164" customWidth="1"/>
    <col min="7" max="7" width="11.7265625" style="157" customWidth="1"/>
    <col min="8" max="8" width="10.81640625" style="84" customWidth="1"/>
    <col min="9" max="9" width="11" style="84" customWidth="1"/>
    <col min="10" max="10" width="13.81640625" style="157" customWidth="1"/>
    <col min="11" max="11" width="16.453125" style="84" customWidth="1"/>
    <col min="12" max="12" width="8" style="164" customWidth="1"/>
    <col min="13" max="14" width="9" style="84" customWidth="1"/>
    <col min="15" max="15" width="7.54296875" style="84" customWidth="1"/>
    <col min="16" max="16" width="5.54296875" style="84" customWidth="1"/>
    <col min="17" max="17" width="8.81640625" style="84" customWidth="1"/>
    <col min="18" max="18" width="6.54296875" style="158" customWidth="1"/>
    <col min="19" max="19" width="7.81640625" style="36" customWidth="1"/>
    <col min="20" max="20" width="16.453125" style="36" customWidth="1"/>
    <col min="21" max="21" width="10.453125" style="36" customWidth="1"/>
    <col min="22" max="22" width="11.26953125" style="36" customWidth="1"/>
    <col min="23" max="23" width="11.453125" style="36" customWidth="1"/>
    <col min="24" max="24" width="9.1796875" style="36" customWidth="1"/>
    <col min="25" max="25" width="11.26953125" style="158" customWidth="1"/>
    <col min="26" max="26" width="9.26953125" style="36" customWidth="1"/>
    <col min="27" max="27" width="8.81640625" style="36" customWidth="1"/>
    <col min="28" max="28" width="10.453125" style="36" customWidth="1"/>
    <col min="29" max="30" width="10.54296875" style="36" customWidth="1"/>
    <col min="31" max="31" width="7.1796875" style="7" customWidth="1"/>
    <col min="32" max="32" width="6.26953125" style="7" customWidth="1"/>
    <col min="33" max="33" width="3.453125" style="7" customWidth="1"/>
    <col min="34" max="34" width="9.1796875" style="36"/>
    <col min="35" max="35" width="8.81640625" style="36" customWidth="1"/>
    <col min="36" max="16384" width="9.1796875" style="36"/>
  </cols>
  <sheetData>
    <row r="1" spans="1:39" s="34" customFormat="1" ht="4.5" customHeight="1" x14ac:dyDescent="0.25"/>
    <row r="2" spans="1:39" s="77" customFormat="1" ht="20" x14ac:dyDescent="0.25">
      <c r="A2" s="74"/>
      <c r="B2" s="74" t="s">
        <v>1376</v>
      </c>
      <c r="C2" s="74"/>
      <c r="D2" s="74"/>
      <c r="E2" s="74"/>
      <c r="F2" s="74"/>
      <c r="G2" s="74"/>
      <c r="J2" s="256" t="s">
        <v>1498</v>
      </c>
      <c r="K2" s="513" t="str">
        <f>IHZ_STATUS</f>
        <v>Empty</v>
      </c>
      <c r="L2" s="258" t="str">
        <f>IFERROR(IHZ_VALID_RES,"")</f>
        <v>‘Hazmat on board‘ is required</v>
      </c>
      <c r="M2" s="258"/>
      <c r="N2" s="258"/>
      <c r="O2" s="258"/>
      <c r="P2" s="258"/>
      <c r="Q2" s="258"/>
      <c r="R2" s="258"/>
      <c r="S2" s="258"/>
      <c r="T2" s="258"/>
      <c r="U2" s="258"/>
      <c r="V2" s="258"/>
      <c r="W2" s="258"/>
      <c r="X2" s="258"/>
      <c r="Y2" s="258"/>
      <c r="Z2" s="258"/>
      <c r="AA2" s="258"/>
      <c r="AB2" s="258"/>
      <c r="AC2" s="258"/>
      <c r="AD2" s="258"/>
      <c r="AE2" s="258"/>
      <c r="AF2" s="258"/>
      <c r="AG2" s="258"/>
    </row>
    <row r="3" spans="1:39" s="77" customFormat="1" ht="4.5" customHeight="1" x14ac:dyDescent="0.25">
      <c r="N3" s="254"/>
      <c r="O3" s="254"/>
      <c r="P3" s="254"/>
      <c r="Q3" s="254"/>
      <c r="R3" s="254"/>
      <c r="S3" s="254"/>
      <c r="T3" s="254"/>
      <c r="U3" s="254"/>
    </row>
    <row r="4" spans="1:39" s="243" customFormat="1" ht="12.75" customHeight="1" thickBot="1" x14ac:dyDescent="0.3">
      <c r="N4" s="164"/>
      <c r="O4" s="164"/>
      <c r="P4" s="164"/>
      <c r="Q4" s="164"/>
      <c r="R4" s="164"/>
      <c r="S4" s="164"/>
      <c r="T4" s="164"/>
      <c r="U4" s="164"/>
    </row>
    <row r="5" spans="1:39" ht="21" customHeight="1" thickTop="1" x14ac:dyDescent="0.25">
      <c r="B5" s="575" t="s">
        <v>1888</v>
      </c>
      <c r="C5" s="576"/>
      <c r="D5" s="577"/>
      <c r="E5" s="567" t="s">
        <v>1601</v>
      </c>
      <c r="F5" s="568"/>
      <c r="G5" s="568"/>
      <c r="H5" s="568"/>
      <c r="I5" s="568"/>
      <c r="J5" s="568"/>
      <c r="K5" s="568"/>
      <c r="L5" s="568"/>
      <c r="M5" s="568"/>
      <c r="N5" s="568"/>
      <c r="O5" s="568"/>
      <c r="P5" s="568"/>
      <c r="Q5" s="568"/>
      <c r="R5" s="568"/>
      <c r="S5" s="572"/>
      <c r="T5" s="388"/>
      <c r="U5" s="514"/>
      <c r="V5" s="514"/>
      <c r="W5" s="514"/>
      <c r="X5" s="514"/>
      <c r="Y5" s="514"/>
      <c r="Z5" s="514"/>
      <c r="AA5" s="7"/>
      <c r="AB5" s="108"/>
      <c r="AC5" s="583" t="s">
        <v>2030</v>
      </c>
      <c r="AD5" s="584"/>
      <c r="AE5" s="584"/>
      <c r="AF5" s="584"/>
      <c r="AG5" s="584"/>
      <c r="AH5" s="584"/>
      <c r="AI5" s="584"/>
      <c r="AJ5" s="585"/>
    </row>
    <row r="6" spans="1:39" ht="12.75" customHeight="1" x14ac:dyDescent="0.3">
      <c r="B6" s="780" t="s">
        <v>1889</v>
      </c>
      <c r="C6" s="781"/>
      <c r="D6" s="328"/>
      <c r="E6" s="772" t="s">
        <v>1500</v>
      </c>
      <c r="F6" s="773"/>
      <c r="G6" s="773"/>
      <c r="H6" s="773"/>
      <c r="I6" s="773"/>
      <c r="J6" s="773"/>
      <c r="K6" s="773"/>
      <c r="L6" s="773" t="s">
        <v>1501</v>
      </c>
      <c r="M6" s="773"/>
      <c r="N6" s="773"/>
      <c r="O6" s="773"/>
      <c r="P6" s="773"/>
      <c r="Q6" s="773"/>
      <c r="R6" s="773"/>
      <c r="S6" s="784"/>
      <c r="U6" s="514"/>
      <c r="V6" s="514"/>
      <c r="W6" s="514"/>
      <c r="X6" s="514"/>
      <c r="Y6" s="514"/>
      <c r="Z6" s="514"/>
      <c r="AA6" s="7"/>
      <c r="AB6" s="515"/>
      <c r="AC6" s="587" t="str">
        <f>IF(SUM_SRC_EMAIL&lt;&gt;"",SUM_SRC_EMAIL,"Please set voyage contact email on the summary tab")</f>
        <v>Please set voyage contact email on the summary tab</v>
      </c>
      <c r="AD6" s="588"/>
      <c r="AE6" s="588"/>
      <c r="AF6" s="588"/>
      <c r="AG6" s="588"/>
      <c r="AH6" s="588"/>
      <c r="AI6" s="588"/>
      <c r="AJ6" s="589"/>
    </row>
    <row r="7" spans="1:39" ht="12.75" customHeight="1" thickBot="1" x14ac:dyDescent="0.35">
      <c r="B7" s="782" t="s">
        <v>71</v>
      </c>
      <c r="C7" s="783"/>
      <c r="D7" s="384"/>
      <c r="E7" s="792" t="s">
        <v>63</v>
      </c>
      <c r="F7" s="793"/>
      <c r="G7" s="774"/>
      <c r="H7" s="775"/>
      <c r="I7" s="329" t="s">
        <v>60</v>
      </c>
      <c r="J7" s="778"/>
      <c r="K7" s="778"/>
      <c r="L7" s="789" t="s">
        <v>1505</v>
      </c>
      <c r="M7" s="790"/>
      <c r="N7" s="785"/>
      <c r="O7" s="785"/>
      <c r="P7" s="785"/>
      <c r="Q7" s="785"/>
      <c r="R7" s="785"/>
      <c r="S7" s="786"/>
      <c r="T7" s="209"/>
      <c r="U7" s="514"/>
      <c r="V7" s="514"/>
      <c r="W7" s="514"/>
      <c r="X7" s="514"/>
      <c r="Y7" s="514"/>
      <c r="Z7" s="514"/>
      <c r="AA7" s="7"/>
      <c r="AB7" s="515"/>
      <c r="AC7" s="590"/>
      <c r="AD7" s="591"/>
      <c r="AE7" s="591"/>
      <c r="AF7" s="591"/>
      <c r="AG7" s="591"/>
      <c r="AH7" s="591"/>
      <c r="AI7" s="591"/>
      <c r="AJ7" s="592"/>
    </row>
    <row r="8" spans="1:39" ht="12.75" customHeight="1" thickTop="1" thickBot="1" x14ac:dyDescent="0.35">
      <c r="E8" s="794" t="s">
        <v>64</v>
      </c>
      <c r="F8" s="795"/>
      <c r="G8" s="776"/>
      <c r="H8" s="777"/>
      <c r="I8" s="330" t="s">
        <v>61</v>
      </c>
      <c r="J8" s="779"/>
      <c r="K8" s="779"/>
      <c r="L8" s="804" t="s">
        <v>1506</v>
      </c>
      <c r="M8" s="805"/>
      <c r="N8" s="787"/>
      <c r="O8" s="787"/>
      <c r="P8" s="787"/>
      <c r="Q8" s="787"/>
      <c r="R8" s="787"/>
      <c r="S8" s="788"/>
      <c r="U8" s="514"/>
      <c r="V8" s="514"/>
      <c r="W8" s="514"/>
      <c r="X8" s="514"/>
      <c r="Y8" s="514"/>
      <c r="Z8" s="514"/>
      <c r="AA8" s="7"/>
      <c r="AB8" s="516"/>
      <c r="AC8" s="586" t="s">
        <v>2031</v>
      </c>
      <c r="AD8" s="586"/>
      <c r="AE8" s="586"/>
      <c r="AF8" s="586"/>
      <c r="AG8" s="586"/>
      <c r="AH8" s="586"/>
      <c r="AI8" s="586"/>
      <c r="AJ8" s="586"/>
    </row>
    <row r="9" spans="1:39" ht="12.75" customHeight="1" thickTop="1" thickBot="1" x14ac:dyDescent="0.35">
      <c r="E9" s="794" t="s">
        <v>1371</v>
      </c>
      <c r="F9" s="795"/>
      <c r="G9" s="800"/>
      <c r="H9" s="801"/>
      <c r="I9" s="331" t="s">
        <v>11</v>
      </c>
      <c r="J9" s="802"/>
      <c r="K9" s="803"/>
      <c r="L9" s="221"/>
      <c r="M9" s="31"/>
      <c r="N9" s="31"/>
      <c r="O9" s="31"/>
      <c r="P9" s="31"/>
      <c r="Q9" s="31"/>
      <c r="R9" s="8"/>
      <c r="S9" s="8"/>
      <c r="U9" s="514"/>
      <c r="V9" s="514"/>
      <c r="W9" s="514"/>
      <c r="X9" s="514"/>
      <c r="Y9" s="514"/>
      <c r="Z9" s="514"/>
      <c r="AA9" s="7"/>
      <c r="AB9" s="169"/>
      <c r="AC9" s="586"/>
      <c r="AD9" s="586"/>
      <c r="AE9" s="586"/>
      <c r="AH9" s="7"/>
      <c r="AI9" s="503"/>
      <c r="AJ9" s="503"/>
    </row>
    <row r="10" spans="1:39" ht="12.75" customHeight="1" thickTop="1" thickBot="1" x14ac:dyDescent="0.35">
      <c r="B10" s="798" t="s">
        <v>1940</v>
      </c>
      <c r="C10" s="798"/>
      <c r="D10" s="798"/>
      <c r="E10" s="796" t="s">
        <v>1373</v>
      </c>
      <c r="F10" s="797"/>
      <c r="G10" s="631"/>
      <c r="H10" s="631"/>
      <c r="I10" s="9"/>
      <c r="J10" s="222"/>
      <c r="K10" s="222"/>
      <c r="L10" s="221"/>
      <c r="M10" s="31"/>
      <c r="N10" s="31"/>
      <c r="O10" s="31"/>
      <c r="P10" s="31"/>
      <c r="Q10" s="31"/>
      <c r="R10" s="8"/>
      <c r="S10" s="8"/>
      <c r="U10" s="514"/>
      <c r="V10" s="514"/>
      <c r="W10" s="514"/>
      <c r="X10" s="514"/>
      <c r="Y10" s="514"/>
      <c r="Z10" s="514"/>
      <c r="AA10" s="514"/>
      <c r="AB10" s="8"/>
      <c r="AD10" s="204"/>
      <c r="AE10" s="204"/>
      <c r="AF10" s="204"/>
      <c r="AG10" s="204"/>
    </row>
    <row r="11" spans="1:39" ht="6.75" customHeight="1" thickTop="1" thickBot="1" x14ac:dyDescent="0.3">
      <c r="B11" s="799"/>
      <c r="C11" s="799"/>
      <c r="D11" s="799"/>
      <c r="E11" s="36"/>
      <c r="F11" s="165"/>
      <c r="G11" s="175"/>
      <c r="H11" s="175"/>
      <c r="I11" s="175"/>
      <c r="J11" s="35"/>
      <c r="K11" s="35"/>
      <c r="L11" s="35"/>
      <c r="M11" s="35"/>
      <c r="N11" s="35"/>
      <c r="O11" s="35"/>
      <c r="P11" s="162"/>
      <c r="Q11" s="162"/>
      <c r="R11" s="162"/>
      <c r="S11" s="162"/>
      <c r="T11" s="162"/>
      <c r="U11" s="158"/>
      <c r="V11" s="158"/>
      <c r="W11" s="158"/>
      <c r="X11" s="158"/>
      <c r="Z11" s="158"/>
      <c r="AA11" s="158"/>
      <c r="AB11" s="158"/>
    </row>
    <row r="12" spans="1:39" ht="21" customHeight="1" thickTop="1" x14ac:dyDescent="0.25">
      <c r="B12" s="180"/>
      <c r="C12" s="567" t="s">
        <v>1405</v>
      </c>
      <c r="D12" s="568"/>
      <c r="E12" s="568"/>
      <c r="F12" s="568"/>
      <c r="G12" s="568"/>
      <c r="H12" s="568"/>
      <c r="I12" s="567" t="s">
        <v>1411</v>
      </c>
      <c r="J12" s="568"/>
      <c r="K12" s="568"/>
      <c r="L12" s="568"/>
      <c r="M12" s="568"/>
      <c r="N12" s="568"/>
      <c r="O12" s="568"/>
      <c r="P12" s="568"/>
      <c r="Q12" s="568"/>
      <c r="R12" s="568"/>
      <c r="S12" s="568"/>
      <c r="T12" s="568"/>
      <c r="U12" s="568"/>
      <c r="V12" s="568"/>
      <c r="W12" s="568"/>
      <c r="X12" s="568"/>
      <c r="Y12" s="572"/>
      <c r="Z12" s="567" t="s">
        <v>1412</v>
      </c>
      <c r="AA12" s="568"/>
      <c r="AB12" s="568"/>
      <c r="AC12" s="568"/>
      <c r="AD12" s="568"/>
      <c r="AE12" s="568"/>
      <c r="AF12" s="572"/>
      <c r="AG12" s="171"/>
    </row>
    <row r="13" spans="1:39" ht="45" customHeight="1" x14ac:dyDescent="0.25">
      <c r="B13" s="185" t="s">
        <v>1502</v>
      </c>
      <c r="C13" s="186" t="s">
        <v>1864</v>
      </c>
      <c r="D13" s="237" t="s">
        <v>623</v>
      </c>
      <c r="E13" s="187" t="s">
        <v>1375</v>
      </c>
      <c r="F13" s="237" t="s">
        <v>1407</v>
      </c>
      <c r="G13" s="188" t="s">
        <v>1374</v>
      </c>
      <c r="H13" s="237" t="s">
        <v>1406</v>
      </c>
      <c r="I13" s="189" t="s">
        <v>1865</v>
      </c>
      <c r="J13" s="237" t="s">
        <v>1866</v>
      </c>
      <c r="K13" s="187" t="s">
        <v>1867</v>
      </c>
      <c r="L13" s="187" t="s">
        <v>110</v>
      </c>
      <c r="M13" s="187" t="s">
        <v>622</v>
      </c>
      <c r="N13" s="237" t="s">
        <v>1876</v>
      </c>
      <c r="O13" s="188" t="s">
        <v>1409</v>
      </c>
      <c r="P13" s="237" t="s">
        <v>1508</v>
      </c>
      <c r="Q13" s="237" t="s">
        <v>1</v>
      </c>
      <c r="R13" s="188" t="s">
        <v>66</v>
      </c>
      <c r="S13" s="188" t="s">
        <v>67</v>
      </c>
      <c r="T13" s="187" t="s">
        <v>0</v>
      </c>
      <c r="U13" s="188" t="s">
        <v>389</v>
      </c>
      <c r="V13" s="188" t="s">
        <v>68</v>
      </c>
      <c r="W13" s="188" t="s">
        <v>69</v>
      </c>
      <c r="X13" s="188" t="s">
        <v>70</v>
      </c>
      <c r="Y13" s="190" t="s">
        <v>1359</v>
      </c>
      <c r="Z13" s="189" t="s">
        <v>1871</v>
      </c>
      <c r="AA13" s="188" t="s">
        <v>1410</v>
      </c>
      <c r="AB13" s="188" t="s">
        <v>1869</v>
      </c>
      <c r="AC13" s="188" t="s">
        <v>639</v>
      </c>
      <c r="AD13" s="191" t="s">
        <v>1870</v>
      </c>
      <c r="AE13" s="188" t="s">
        <v>1408</v>
      </c>
      <c r="AF13" s="190" t="s">
        <v>1508</v>
      </c>
      <c r="AG13" s="8"/>
      <c r="AH13" s="791" t="s">
        <v>1868</v>
      </c>
      <c r="AI13" s="791"/>
      <c r="AJ13" s="791"/>
      <c r="AK13" s="791"/>
      <c r="AL13" s="791"/>
      <c r="AM13" s="791"/>
    </row>
    <row r="14" spans="1:39" s="287" customFormat="1" ht="13" x14ac:dyDescent="0.3">
      <c r="B14" s="326" t="str">
        <f>IF(C14="","Skip",IF(AND(Validator!G8=TRUE,Validator!G258=TRUE,Validator!G508=TRUE,Validator!G758=TRUE,Validator!G1008=TRUE,Validator!G1258=TRUE),"Valid","Invalid"))</f>
        <v>Skip</v>
      </c>
      <c r="C14" s="69"/>
      <c r="D14" s="389"/>
      <c r="E14" s="390"/>
      <c r="F14" s="519"/>
      <c r="G14" s="393"/>
      <c r="H14" s="519"/>
      <c r="I14" s="321"/>
      <c r="J14" s="395"/>
      <c r="K14" s="396"/>
      <c r="L14" s="397"/>
      <c r="M14" s="310"/>
      <c r="N14" s="317"/>
      <c r="O14" s="398" t="s">
        <v>278</v>
      </c>
      <c r="P14" s="399" t="s">
        <v>77</v>
      </c>
      <c r="Q14" s="317"/>
      <c r="R14" s="308"/>
      <c r="S14" s="308"/>
      <c r="T14" s="317"/>
      <c r="U14" s="324" t="str">
        <f>IF(ISERROR(VLOOKUP($T14, 'Reference data'!$J$2:$K$139, 2, FALSE)),"-",VLOOKUP($T14, 'Reference data'!$J$2:$K$139, 2, FALSE))</f>
        <v>-</v>
      </c>
      <c r="V14" s="308"/>
      <c r="W14" s="308"/>
      <c r="X14" s="312"/>
      <c r="Y14" s="313"/>
      <c r="Z14" s="69"/>
      <c r="AA14" s="341"/>
      <c r="AB14" s="82"/>
      <c r="AC14" s="71"/>
      <c r="AD14" s="319"/>
      <c r="AE14" s="226" t="s">
        <v>278</v>
      </c>
      <c r="AF14" s="230" t="s">
        <v>77</v>
      </c>
      <c r="AG14" s="320"/>
      <c r="AH14" s="791"/>
      <c r="AI14" s="791"/>
      <c r="AJ14" s="791"/>
      <c r="AK14" s="791"/>
      <c r="AL14" s="791"/>
      <c r="AM14" s="791"/>
    </row>
    <row r="15" spans="1:39" s="287" customFormat="1" ht="13" x14ac:dyDescent="0.3">
      <c r="B15" s="326" t="str">
        <f>IF(C15="","Skip",IF(AND(Validator!G9=TRUE,Validator!G259=TRUE,Validator!G509=TRUE,Validator!G759=TRUE,Validator!G1009=TRUE,Validator!G1259=TRUE),"Valid","Invalid"))</f>
        <v>Skip</v>
      </c>
      <c r="C15" s="69"/>
      <c r="D15" s="389"/>
      <c r="E15" s="390"/>
      <c r="F15" s="519"/>
      <c r="G15" s="393"/>
      <c r="H15" s="519"/>
      <c r="I15" s="321"/>
      <c r="J15" s="395"/>
      <c r="K15" s="396"/>
      <c r="L15" s="397"/>
      <c r="M15" s="310"/>
      <c r="N15" s="400"/>
      <c r="O15" s="398" t="s">
        <v>278</v>
      </c>
      <c r="P15" s="399" t="s">
        <v>77</v>
      </c>
      <c r="Q15" s="317"/>
      <c r="R15" s="308"/>
      <c r="S15" s="308"/>
      <c r="T15" s="317"/>
      <c r="U15" s="324" t="str">
        <f>IF(ISERROR(VLOOKUP($T15, 'Reference data'!$J$2:$K$139, 2, FALSE)),"-",VLOOKUP($T15, 'Reference data'!$J$2:$K$139, 2, FALSE))</f>
        <v>-</v>
      </c>
      <c r="V15" s="308"/>
      <c r="W15" s="308"/>
      <c r="X15" s="312"/>
      <c r="Y15" s="313"/>
      <c r="Z15" s="69"/>
      <c r="AA15" s="341"/>
      <c r="AB15" s="82"/>
      <c r="AC15" s="71"/>
      <c r="AD15" s="319"/>
      <c r="AE15" s="226" t="s">
        <v>278</v>
      </c>
      <c r="AF15" s="230" t="s">
        <v>77</v>
      </c>
      <c r="AG15" s="322"/>
      <c r="AH15" s="791"/>
      <c r="AI15" s="791"/>
      <c r="AJ15" s="791"/>
      <c r="AK15" s="791"/>
      <c r="AL15" s="791"/>
      <c r="AM15" s="791"/>
    </row>
    <row r="16" spans="1:39" s="287" customFormat="1" ht="13" x14ac:dyDescent="0.3">
      <c r="B16" s="326" t="str">
        <f>IF(C16="","Skip",IF(AND(Validator!G10=TRUE,Validator!G260=TRUE,Validator!G510=TRUE,Validator!G760=TRUE,Validator!G1010=TRUE,Validator!G1260=TRUE),"Valid","Invalid"))</f>
        <v>Skip</v>
      </c>
      <c r="C16" s="69"/>
      <c r="D16" s="389"/>
      <c r="E16" s="390"/>
      <c r="F16" s="519"/>
      <c r="G16" s="393"/>
      <c r="H16" s="519"/>
      <c r="I16" s="321"/>
      <c r="J16" s="395"/>
      <c r="K16" s="396"/>
      <c r="L16" s="397"/>
      <c r="M16" s="310"/>
      <c r="N16" s="400"/>
      <c r="O16" s="398" t="s">
        <v>278</v>
      </c>
      <c r="P16" s="399" t="s">
        <v>77</v>
      </c>
      <c r="Q16" s="317"/>
      <c r="R16" s="308"/>
      <c r="S16" s="308"/>
      <c r="T16" s="317"/>
      <c r="U16" s="324" t="str">
        <f>IF(ISERROR(VLOOKUP($T16, 'Reference data'!$J$2:$K$139, 2, FALSE)),"-",VLOOKUP($T16, 'Reference data'!$J$2:$K$139, 2, FALSE))</f>
        <v>-</v>
      </c>
      <c r="V16" s="308"/>
      <c r="W16" s="308"/>
      <c r="X16" s="312"/>
      <c r="Y16" s="313"/>
      <c r="Z16" s="69"/>
      <c r="AA16" s="341"/>
      <c r="AB16" s="82"/>
      <c r="AC16" s="71"/>
      <c r="AD16" s="319"/>
      <c r="AE16" s="226" t="s">
        <v>278</v>
      </c>
      <c r="AF16" s="230" t="s">
        <v>77</v>
      </c>
      <c r="AG16" s="322"/>
      <c r="AH16" s="791"/>
      <c r="AI16" s="791"/>
      <c r="AJ16" s="791"/>
      <c r="AK16" s="791"/>
      <c r="AL16" s="791"/>
      <c r="AM16" s="791"/>
    </row>
    <row r="17" spans="2:39" s="287" customFormat="1" ht="13" x14ac:dyDescent="0.3">
      <c r="B17" s="326" t="str">
        <f>IF(C17="","Skip",IF(AND(Validator!G11=TRUE,Validator!G261=TRUE,Validator!G511=TRUE,Validator!G761=TRUE,Validator!G1011=TRUE,Validator!G1261=TRUE),"Valid","Invalid"))</f>
        <v>Skip</v>
      </c>
      <c r="C17" s="69"/>
      <c r="D17" s="389"/>
      <c r="E17" s="390"/>
      <c r="F17" s="519"/>
      <c r="G17" s="393"/>
      <c r="H17" s="519"/>
      <c r="I17" s="321"/>
      <c r="J17" s="395"/>
      <c r="K17" s="396"/>
      <c r="L17" s="397"/>
      <c r="M17" s="310"/>
      <c r="N17" s="400"/>
      <c r="O17" s="398" t="s">
        <v>278</v>
      </c>
      <c r="P17" s="399" t="s">
        <v>77</v>
      </c>
      <c r="Q17" s="317"/>
      <c r="R17" s="308"/>
      <c r="S17" s="308"/>
      <c r="T17" s="317"/>
      <c r="U17" s="324" t="str">
        <f>IF(ISERROR(VLOOKUP($T17, 'Reference data'!$J$2:$K$139, 2, FALSE)),"-",VLOOKUP($T17, 'Reference data'!$J$2:$K$139, 2, FALSE))</f>
        <v>-</v>
      </c>
      <c r="V17" s="308"/>
      <c r="W17" s="308"/>
      <c r="X17" s="312"/>
      <c r="Y17" s="313"/>
      <c r="Z17" s="69"/>
      <c r="AA17" s="341"/>
      <c r="AB17" s="82"/>
      <c r="AC17" s="71"/>
      <c r="AD17" s="319"/>
      <c r="AE17" s="226" t="s">
        <v>278</v>
      </c>
      <c r="AF17" s="230" t="s">
        <v>77</v>
      </c>
      <c r="AG17" s="322"/>
      <c r="AH17" s="791"/>
      <c r="AI17" s="791"/>
      <c r="AJ17" s="791"/>
      <c r="AK17" s="791"/>
      <c r="AL17" s="791"/>
      <c r="AM17" s="791"/>
    </row>
    <row r="18" spans="2:39" s="287" customFormat="1" ht="13" x14ac:dyDescent="0.3">
      <c r="B18" s="326" t="str">
        <f>IF(C18="","Skip",IF(AND(Validator!G12=TRUE,Validator!G262=TRUE,Validator!G512=TRUE,Validator!G762=TRUE,Validator!G1012=TRUE,Validator!G1262=TRUE),"Valid","Invalid"))</f>
        <v>Skip</v>
      </c>
      <c r="C18" s="69"/>
      <c r="D18" s="389"/>
      <c r="E18" s="390"/>
      <c r="F18" s="519"/>
      <c r="G18" s="393"/>
      <c r="H18" s="519"/>
      <c r="I18" s="321"/>
      <c r="J18" s="395"/>
      <c r="K18" s="396"/>
      <c r="L18" s="397"/>
      <c r="M18" s="310"/>
      <c r="N18" s="400"/>
      <c r="O18" s="398" t="s">
        <v>278</v>
      </c>
      <c r="P18" s="399" t="s">
        <v>77</v>
      </c>
      <c r="Q18" s="317"/>
      <c r="R18" s="308"/>
      <c r="S18" s="308"/>
      <c r="T18" s="317"/>
      <c r="U18" s="324" t="str">
        <f>IF(ISERROR(VLOOKUP($T18, 'Reference data'!$J$2:$K$139, 2, FALSE)),"-",VLOOKUP($T18, 'Reference data'!$J$2:$K$139, 2, FALSE))</f>
        <v>-</v>
      </c>
      <c r="V18" s="308"/>
      <c r="W18" s="308"/>
      <c r="X18" s="312"/>
      <c r="Y18" s="313"/>
      <c r="Z18" s="69"/>
      <c r="AA18" s="341"/>
      <c r="AB18" s="82"/>
      <c r="AC18" s="71"/>
      <c r="AD18" s="319"/>
      <c r="AE18" s="226" t="s">
        <v>278</v>
      </c>
      <c r="AF18" s="230" t="s">
        <v>77</v>
      </c>
      <c r="AG18" s="322"/>
    </row>
    <row r="19" spans="2:39" s="287" customFormat="1" ht="13" x14ac:dyDescent="0.3">
      <c r="B19" s="326" t="str">
        <f>IF(C19="","Skip",IF(AND(Validator!G13=TRUE,Validator!G263=TRUE,Validator!G513=TRUE,Validator!G763=TRUE,Validator!G1013=TRUE,Validator!G1263=TRUE),"Valid","Invalid"))</f>
        <v>Skip</v>
      </c>
      <c r="C19" s="69"/>
      <c r="D19" s="389"/>
      <c r="E19" s="390"/>
      <c r="F19" s="519"/>
      <c r="G19" s="393"/>
      <c r="H19" s="519"/>
      <c r="I19" s="321"/>
      <c r="J19" s="395"/>
      <c r="K19" s="396"/>
      <c r="L19" s="397"/>
      <c r="M19" s="310"/>
      <c r="N19" s="400"/>
      <c r="O19" s="398" t="s">
        <v>278</v>
      </c>
      <c r="P19" s="399" t="s">
        <v>77</v>
      </c>
      <c r="Q19" s="317"/>
      <c r="R19" s="308"/>
      <c r="S19" s="308"/>
      <c r="T19" s="317"/>
      <c r="U19" s="324" t="str">
        <f>IF(ISERROR(VLOOKUP($T19, 'Reference data'!$J$2:$K$139, 2, FALSE)),"-",VLOOKUP($T19, 'Reference data'!$J$2:$K$139, 2, FALSE))</f>
        <v>-</v>
      </c>
      <c r="V19" s="308"/>
      <c r="W19" s="308"/>
      <c r="X19" s="312"/>
      <c r="Y19" s="313"/>
      <c r="Z19" s="69"/>
      <c r="AA19" s="341"/>
      <c r="AB19" s="82"/>
      <c r="AC19" s="71"/>
      <c r="AD19" s="319"/>
      <c r="AE19" s="226" t="s">
        <v>278</v>
      </c>
      <c r="AF19" s="230" t="s">
        <v>77</v>
      </c>
      <c r="AG19" s="322"/>
    </row>
    <row r="20" spans="2:39" s="287" customFormat="1" ht="13" x14ac:dyDescent="0.3">
      <c r="B20" s="326" t="str">
        <f>IF(C20="","Skip",IF(AND(Validator!G14=TRUE,Validator!G264=TRUE,Validator!G514=TRUE,Validator!G764=TRUE,Validator!G1014=TRUE,Validator!G1264=TRUE),"Valid","Invalid"))</f>
        <v>Skip</v>
      </c>
      <c r="C20" s="69"/>
      <c r="D20" s="389"/>
      <c r="E20" s="390"/>
      <c r="F20" s="519"/>
      <c r="G20" s="393"/>
      <c r="H20" s="519"/>
      <c r="I20" s="321"/>
      <c r="J20" s="395"/>
      <c r="K20" s="395"/>
      <c r="L20" s="397"/>
      <c r="M20" s="310"/>
      <c r="N20" s="400"/>
      <c r="O20" s="398" t="s">
        <v>278</v>
      </c>
      <c r="P20" s="399" t="s">
        <v>77</v>
      </c>
      <c r="Q20" s="317"/>
      <c r="R20" s="308"/>
      <c r="S20" s="308"/>
      <c r="T20" s="317"/>
      <c r="U20" s="324" t="str">
        <f>IF(ISERROR(VLOOKUP($T20, 'Reference data'!$J$2:$K$139, 2, FALSE)),"-",VLOOKUP($T20, 'Reference data'!$J$2:$K$139, 2, FALSE))</f>
        <v>-</v>
      </c>
      <c r="V20" s="308"/>
      <c r="W20" s="308"/>
      <c r="X20" s="312"/>
      <c r="Y20" s="313"/>
      <c r="Z20" s="69"/>
      <c r="AA20" s="341"/>
      <c r="AB20" s="82"/>
      <c r="AC20" s="71"/>
      <c r="AD20" s="319"/>
      <c r="AE20" s="226" t="s">
        <v>278</v>
      </c>
      <c r="AF20" s="230" t="s">
        <v>77</v>
      </c>
      <c r="AG20" s="322"/>
    </row>
    <row r="21" spans="2:39" s="287" customFormat="1" ht="13" x14ac:dyDescent="0.3">
      <c r="B21" s="326" t="str">
        <f>IF(C21="","Skip",IF(AND(Validator!G15=TRUE,Validator!G265=TRUE,Validator!G515=TRUE,Validator!G765=TRUE,Validator!G1015=TRUE,Validator!G1265=TRUE),"Valid","Invalid"))</f>
        <v>Skip</v>
      </c>
      <c r="C21" s="69"/>
      <c r="D21" s="389"/>
      <c r="E21" s="390"/>
      <c r="F21" s="519"/>
      <c r="G21" s="393"/>
      <c r="H21" s="519"/>
      <c r="I21" s="321"/>
      <c r="J21" s="395"/>
      <c r="K21" s="396"/>
      <c r="L21" s="397"/>
      <c r="M21" s="310"/>
      <c r="N21" s="400"/>
      <c r="O21" s="398" t="s">
        <v>278</v>
      </c>
      <c r="P21" s="399" t="s">
        <v>77</v>
      </c>
      <c r="Q21" s="317"/>
      <c r="R21" s="308"/>
      <c r="S21" s="308"/>
      <c r="T21" s="317"/>
      <c r="U21" s="324" t="str">
        <f>IF(ISERROR(VLOOKUP($T21, 'Reference data'!$J$2:$K$139, 2, FALSE)),"-",VLOOKUP($T21, 'Reference data'!$J$2:$K$139, 2, FALSE))</f>
        <v>-</v>
      </c>
      <c r="V21" s="308"/>
      <c r="W21" s="308"/>
      <c r="X21" s="312"/>
      <c r="Y21" s="313"/>
      <c r="Z21" s="69"/>
      <c r="AA21" s="341"/>
      <c r="AB21" s="82"/>
      <c r="AC21" s="71"/>
      <c r="AD21" s="319"/>
      <c r="AE21" s="226" t="s">
        <v>278</v>
      </c>
      <c r="AF21" s="230" t="s">
        <v>77</v>
      </c>
      <c r="AG21" s="322"/>
    </row>
    <row r="22" spans="2:39" s="287" customFormat="1" ht="13" x14ac:dyDescent="0.3">
      <c r="B22" s="326" t="str">
        <f>IF(C22="","Skip",IF(AND(Validator!G16=TRUE,Validator!G266=TRUE,Validator!G516=TRUE,Validator!G766=TRUE,Validator!G1016=TRUE,Validator!G1266=TRUE),"Valid","Invalid"))</f>
        <v>Skip</v>
      </c>
      <c r="C22" s="69"/>
      <c r="D22" s="389"/>
      <c r="E22" s="390"/>
      <c r="F22" s="519"/>
      <c r="G22" s="393"/>
      <c r="H22" s="519"/>
      <c r="I22" s="321"/>
      <c r="J22" s="395"/>
      <c r="K22" s="396"/>
      <c r="L22" s="397"/>
      <c r="M22" s="310"/>
      <c r="N22" s="400"/>
      <c r="O22" s="398" t="s">
        <v>278</v>
      </c>
      <c r="P22" s="399" t="s">
        <v>77</v>
      </c>
      <c r="Q22" s="317"/>
      <c r="R22" s="308"/>
      <c r="S22" s="308"/>
      <c r="T22" s="317"/>
      <c r="U22" s="324" t="str">
        <f>IF(ISERROR(VLOOKUP($T22, 'Reference data'!$J$2:$K$139, 2, FALSE)),"-",VLOOKUP($T22, 'Reference data'!$J$2:$K$139, 2, FALSE))</f>
        <v>-</v>
      </c>
      <c r="V22" s="308"/>
      <c r="W22" s="308"/>
      <c r="X22" s="312"/>
      <c r="Y22" s="313"/>
      <c r="Z22" s="69"/>
      <c r="AA22" s="341"/>
      <c r="AB22" s="82"/>
      <c r="AC22" s="71"/>
      <c r="AD22" s="319"/>
      <c r="AE22" s="226" t="s">
        <v>278</v>
      </c>
      <c r="AF22" s="230" t="s">
        <v>77</v>
      </c>
      <c r="AG22" s="322"/>
    </row>
    <row r="23" spans="2:39" s="287" customFormat="1" ht="13" x14ac:dyDescent="0.3">
      <c r="B23" s="326" t="str">
        <f>IF(C23="","Skip",IF(AND(Validator!G17=TRUE,Validator!G267=TRUE,Validator!G517=TRUE,Validator!G767=TRUE,Validator!G1017=TRUE,Validator!G1267=TRUE),"Valid","Invalid"))</f>
        <v>Skip</v>
      </c>
      <c r="C23" s="69"/>
      <c r="D23" s="389"/>
      <c r="E23" s="390"/>
      <c r="F23" s="519"/>
      <c r="G23" s="393"/>
      <c r="H23" s="519"/>
      <c r="I23" s="321"/>
      <c r="J23" s="395"/>
      <c r="K23" s="396"/>
      <c r="L23" s="397"/>
      <c r="M23" s="310"/>
      <c r="N23" s="400"/>
      <c r="O23" s="398" t="s">
        <v>278</v>
      </c>
      <c r="P23" s="399" t="s">
        <v>77</v>
      </c>
      <c r="Q23" s="317"/>
      <c r="R23" s="308"/>
      <c r="S23" s="308"/>
      <c r="T23" s="317"/>
      <c r="U23" s="324" t="str">
        <f>IF(ISERROR(VLOOKUP($T23, 'Reference data'!$J$2:$K$139, 2, FALSE)),"-",VLOOKUP($T23, 'Reference data'!$J$2:$K$139, 2, FALSE))</f>
        <v>-</v>
      </c>
      <c r="V23" s="308"/>
      <c r="W23" s="308"/>
      <c r="X23" s="312"/>
      <c r="Y23" s="313"/>
      <c r="Z23" s="69"/>
      <c r="AA23" s="341"/>
      <c r="AB23" s="82"/>
      <c r="AC23" s="71"/>
      <c r="AD23" s="319"/>
      <c r="AE23" s="226" t="s">
        <v>278</v>
      </c>
      <c r="AF23" s="230" t="s">
        <v>77</v>
      </c>
      <c r="AG23" s="322"/>
    </row>
    <row r="24" spans="2:39" s="287" customFormat="1" ht="13" x14ac:dyDescent="0.3">
      <c r="B24" s="326" t="str">
        <f>IF(C24="","Skip",IF(AND(Validator!G18=TRUE,Validator!G268=TRUE,Validator!G518=TRUE,Validator!G768=TRUE,Validator!G1018=TRUE,Validator!G1268=TRUE),"Valid","Invalid"))</f>
        <v>Skip</v>
      </c>
      <c r="C24" s="69"/>
      <c r="D24" s="389"/>
      <c r="E24" s="390"/>
      <c r="F24" s="519"/>
      <c r="G24" s="393"/>
      <c r="H24" s="519"/>
      <c r="I24" s="321"/>
      <c r="J24" s="395"/>
      <c r="K24" s="396"/>
      <c r="L24" s="397"/>
      <c r="M24" s="310"/>
      <c r="N24" s="400"/>
      <c r="O24" s="398" t="s">
        <v>278</v>
      </c>
      <c r="P24" s="399" t="s">
        <v>77</v>
      </c>
      <c r="Q24" s="317"/>
      <c r="R24" s="308"/>
      <c r="S24" s="308"/>
      <c r="T24" s="317"/>
      <c r="U24" s="324" t="str">
        <f>IF(ISERROR(VLOOKUP($T24, 'Reference data'!$J$2:$K$139, 2, FALSE)),"-",VLOOKUP($T24, 'Reference data'!$J$2:$K$139, 2, FALSE))</f>
        <v>-</v>
      </c>
      <c r="V24" s="308"/>
      <c r="W24" s="308"/>
      <c r="X24" s="312"/>
      <c r="Y24" s="313"/>
      <c r="Z24" s="69"/>
      <c r="AA24" s="341"/>
      <c r="AB24" s="82"/>
      <c r="AC24" s="71"/>
      <c r="AD24" s="319"/>
      <c r="AE24" s="226" t="s">
        <v>278</v>
      </c>
      <c r="AF24" s="230" t="s">
        <v>77</v>
      </c>
      <c r="AG24" s="322"/>
    </row>
    <row r="25" spans="2:39" s="287" customFormat="1" ht="13" x14ac:dyDescent="0.3">
      <c r="B25" s="326" t="str">
        <f>IF(C25="","Skip",IF(AND(Validator!G19=TRUE,Validator!G269=TRUE,Validator!G519=TRUE,Validator!G769=TRUE,Validator!G1019=TRUE,Validator!G1269=TRUE),"Valid","Invalid"))</f>
        <v>Skip</v>
      </c>
      <c r="C25" s="69"/>
      <c r="D25" s="389"/>
      <c r="E25" s="390"/>
      <c r="F25" s="519"/>
      <c r="G25" s="393"/>
      <c r="H25" s="519"/>
      <c r="I25" s="321"/>
      <c r="J25" s="395"/>
      <c r="K25" s="396"/>
      <c r="L25" s="397"/>
      <c r="M25" s="310"/>
      <c r="N25" s="400"/>
      <c r="O25" s="398" t="s">
        <v>278</v>
      </c>
      <c r="P25" s="399" t="s">
        <v>77</v>
      </c>
      <c r="Q25" s="317"/>
      <c r="R25" s="308"/>
      <c r="S25" s="308"/>
      <c r="T25" s="317"/>
      <c r="U25" s="324" t="str">
        <f>IF(ISERROR(VLOOKUP($T25, 'Reference data'!$J$2:$K$139, 2, FALSE)),"-",VLOOKUP($T25, 'Reference data'!$J$2:$K$139, 2, FALSE))</f>
        <v>-</v>
      </c>
      <c r="V25" s="308"/>
      <c r="W25" s="308"/>
      <c r="X25" s="312"/>
      <c r="Y25" s="313"/>
      <c r="Z25" s="69"/>
      <c r="AA25" s="341"/>
      <c r="AB25" s="82"/>
      <c r="AC25" s="71"/>
      <c r="AD25" s="319"/>
      <c r="AE25" s="226" t="s">
        <v>278</v>
      </c>
      <c r="AF25" s="230" t="s">
        <v>77</v>
      </c>
      <c r="AG25" s="322"/>
    </row>
    <row r="26" spans="2:39" s="287" customFormat="1" ht="13" x14ac:dyDescent="0.3">
      <c r="B26" s="326" t="str">
        <f>IF(C26="","Skip",IF(AND(Validator!G20=TRUE,Validator!G270=TRUE,Validator!G520=TRUE,Validator!G770=TRUE,Validator!G1020=TRUE,Validator!G1270=TRUE),"Valid","Invalid"))</f>
        <v>Skip</v>
      </c>
      <c r="C26" s="69"/>
      <c r="D26" s="389"/>
      <c r="E26" s="390"/>
      <c r="F26" s="519"/>
      <c r="G26" s="393"/>
      <c r="H26" s="519"/>
      <c r="I26" s="321"/>
      <c r="J26" s="395"/>
      <c r="K26" s="396"/>
      <c r="L26" s="397"/>
      <c r="M26" s="310"/>
      <c r="N26" s="400"/>
      <c r="O26" s="398" t="s">
        <v>278</v>
      </c>
      <c r="P26" s="399" t="s">
        <v>77</v>
      </c>
      <c r="Q26" s="317"/>
      <c r="R26" s="308"/>
      <c r="S26" s="308"/>
      <c r="T26" s="317"/>
      <c r="U26" s="324" t="str">
        <f>IF(ISERROR(VLOOKUP($T26, 'Reference data'!$J$2:$K$139, 2, FALSE)),"-",VLOOKUP($T26, 'Reference data'!$J$2:$K$139, 2, FALSE))</f>
        <v>-</v>
      </c>
      <c r="V26" s="308"/>
      <c r="W26" s="308"/>
      <c r="X26" s="312"/>
      <c r="Y26" s="313"/>
      <c r="Z26" s="69"/>
      <c r="AA26" s="341"/>
      <c r="AB26" s="82"/>
      <c r="AC26" s="71"/>
      <c r="AD26" s="319"/>
      <c r="AE26" s="226" t="s">
        <v>278</v>
      </c>
      <c r="AF26" s="230" t="s">
        <v>77</v>
      </c>
      <c r="AG26" s="322"/>
    </row>
    <row r="27" spans="2:39" s="287" customFormat="1" ht="13" x14ac:dyDescent="0.3">
      <c r="B27" s="326" t="str">
        <f>IF(C27="","Skip",IF(AND(Validator!G21=TRUE,Validator!G271=TRUE,Validator!G521=TRUE,Validator!G771=TRUE,Validator!G1021=TRUE,Validator!G1271=TRUE),"Valid","Invalid"))</f>
        <v>Skip</v>
      </c>
      <c r="C27" s="69"/>
      <c r="D27" s="389"/>
      <c r="E27" s="390"/>
      <c r="F27" s="519"/>
      <c r="G27" s="393"/>
      <c r="H27" s="519"/>
      <c r="I27" s="321"/>
      <c r="J27" s="395"/>
      <c r="K27" s="396"/>
      <c r="L27" s="397"/>
      <c r="M27" s="310"/>
      <c r="N27" s="400"/>
      <c r="O27" s="398" t="s">
        <v>278</v>
      </c>
      <c r="P27" s="399" t="s">
        <v>77</v>
      </c>
      <c r="Q27" s="317"/>
      <c r="R27" s="308"/>
      <c r="S27" s="308"/>
      <c r="T27" s="317"/>
      <c r="U27" s="324" t="str">
        <f>IF(ISERROR(VLOOKUP($T27, 'Reference data'!$J$2:$K$139, 2, FALSE)),"-",VLOOKUP($T27, 'Reference data'!$J$2:$K$139, 2, FALSE))</f>
        <v>-</v>
      </c>
      <c r="V27" s="308"/>
      <c r="W27" s="308"/>
      <c r="X27" s="312"/>
      <c r="Y27" s="313"/>
      <c r="Z27" s="69"/>
      <c r="AA27" s="341"/>
      <c r="AB27" s="82"/>
      <c r="AC27" s="71"/>
      <c r="AD27" s="319"/>
      <c r="AE27" s="226" t="s">
        <v>278</v>
      </c>
      <c r="AF27" s="230" t="s">
        <v>77</v>
      </c>
      <c r="AG27" s="322"/>
    </row>
    <row r="28" spans="2:39" s="287" customFormat="1" ht="13" x14ac:dyDescent="0.3">
      <c r="B28" s="326" t="str">
        <f>IF(C28="","Skip",IF(AND(Validator!G22=TRUE,Validator!G272=TRUE,Validator!G522=TRUE,Validator!G772=TRUE,Validator!G1022=TRUE,Validator!G1272=TRUE),"Valid","Invalid"))</f>
        <v>Skip</v>
      </c>
      <c r="C28" s="69"/>
      <c r="D28" s="389"/>
      <c r="E28" s="390"/>
      <c r="F28" s="519"/>
      <c r="G28" s="393"/>
      <c r="H28" s="519"/>
      <c r="I28" s="321"/>
      <c r="J28" s="395"/>
      <c r="K28" s="396"/>
      <c r="L28" s="397"/>
      <c r="M28" s="310"/>
      <c r="N28" s="400"/>
      <c r="O28" s="398" t="s">
        <v>278</v>
      </c>
      <c r="P28" s="399" t="s">
        <v>77</v>
      </c>
      <c r="Q28" s="317"/>
      <c r="R28" s="308"/>
      <c r="S28" s="308"/>
      <c r="T28" s="317"/>
      <c r="U28" s="324" t="str">
        <f>IF(ISERROR(VLOOKUP($T28, 'Reference data'!$J$2:$K$139, 2, FALSE)),"-",VLOOKUP($T28, 'Reference data'!$J$2:$K$139, 2, FALSE))</f>
        <v>-</v>
      </c>
      <c r="V28" s="308"/>
      <c r="W28" s="308"/>
      <c r="X28" s="312"/>
      <c r="Y28" s="313"/>
      <c r="Z28" s="69"/>
      <c r="AA28" s="341"/>
      <c r="AB28" s="82"/>
      <c r="AC28" s="71"/>
      <c r="AD28" s="319"/>
      <c r="AE28" s="226" t="s">
        <v>278</v>
      </c>
      <c r="AF28" s="230" t="s">
        <v>77</v>
      </c>
      <c r="AG28" s="322"/>
    </row>
    <row r="29" spans="2:39" s="287" customFormat="1" ht="13" x14ac:dyDescent="0.3">
      <c r="B29" s="326" t="str">
        <f>IF(C29="","Skip",IF(AND(Validator!G23=TRUE,Validator!G273=TRUE,Validator!G523=TRUE,Validator!G773=TRUE,Validator!G1023=TRUE,Validator!G1273=TRUE),"Valid","Invalid"))</f>
        <v>Skip</v>
      </c>
      <c r="C29" s="69"/>
      <c r="D29" s="389"/>
      <c r="E29" s="390"/>
      <c r="F29" s="519"/>
      <c r="G29" s="393"/>
      <c r="H29" s="519"/>
      <c r="I29" s="321"/>
      <c r="J29" s="395"/>
      <c r="K29" s="396"/>
      <c r="L29" s="397"/>
      <c r="M29" s="310"/>
      <c r="N29" s="400"/>
      <c r="O29" s="398" t="s">
        <v>278</v>
      </c>
      <c r="P29" s="399" t="s">
        <v>77</v>
      </c>
      <c r="Q29" s="317"/>
      <c r="R29" s="308"/>
      <c r="S29" s="308"/>
      <c r="T29" s="317"/>
      <c r="U29" s="324" t="str">
        <f>IF(ISERROR(VLOOKUP($T29, 'Reference data'!$J$2:$K$139, 2, FALSE)),"-",VLOOKUP($T29, 'Reference data'!$J$2:$K$139, 2, FALSE))</f>
        <v>-</v>
      </c>
      <c r="V29" s="308"/>
      <c r="W29" s="308"/>
      <c r="X29" s="312"/>
      <c r="Y29" s="313"/>
      <c r="Z29" s="69"/>
      <c r="AA29" s="341"/>
      <c r="AB29" s="82"/>
      <c r="AC29" s="71"/>
      <c r="AD29" s="319"/>
      <c r="AE29" s="226" t="s">
        <v>278</v>
      </c>
      <c r="AF29" s="230" t="s">
        <v>77</v>
      </c>
      <c r="AG29" s="322"/>
    </row>
    <row r="30" spans="2:39" s="287" customFormat="1" ht="13" x14ac:dyDescent="0.3">
      <c r="B30" s="326" t="str">
        <f>IF(C30="","Skip",IF(AND(Validator!G24=TRUE,Validator!G274=TRUE,Validator!G524=TRUE,Validator!G774=TRUE,Validator!G1024=TRUE,Validator!G1274=TRUE),"Valid","Invalid"))</f>
        <v>Skip</v>
      </c>
      <c r="C30" s="69"/>
      <c r="D30" s="389"/>
      <c r="E30" s="390"/>
      <c r="F30" s="519"/>
      <c r="G30" s="393"/>
      <c r="H30" s="519"/>
      <c r="I30" s="321"/>
      <c r="J30" s="395"/>
      <c r="K30" s="396"/>
      <c r="L30" s="397"/>
      <c r="M30" s="310"/>
      <c r="N30" s="400"/>
      <c r="O30" s="398" t="s">
        <v>278</v>
      </c>
      <c r="P30" s="399" t="s">
        <v>77</v>
      </c>
      <c r="Q30" s="317"/>
      <c r="R30" s="308"/>
      <c r="S30" s="308"/>
      <c r="T30" s="317"/>
      <c r="U30" s="324" t="str">
        <f>IF(ISERROR(VLOOKUP($T30, 'Reference data'!$J$2:$K$139, 2, FALSE)),"-",VLOOKUP($T30, 'Reference data'!$J$2:$K$139, 2, FALSE))</f>
        <v>-</v>
      </c>
      <c r="V30" s="308"/>
      <c r="W30" s="308"/>
      <c r="X30" s="312"/>
      <c r="Y30" s="313"/>
      <c r="Z30" s="69"/>
      <c r="AA30" s="341"/>
      <c r="AB30" s="82"/>
      <c r="AC30" s="71"/>
      <c r="AD30" s="319"/>
      <c r="AE30" s="226" t="s">
        <v>278</v>
      </c>
      <c r="AF30" s="230" t="s">
        <v>77</v>
      </c>
      <c r="AG30" s="322"/>
    </row>
    <row r="31" spans="2:39" s="287" customFormat="1" ht="13" x14ac:dyDescent="0.3">
      <c r="B31" s="326" t="str">
        <f>IF(C31="","Skip",IF(AND(Validator!G25=TRUE,Validator!G275=TRUE,Validator!G525=TRUE,Validator!G775=TRUE,Validator!G1025=TRUE,Validator!G1275=TRUE),"Valid","Invalid"))</f>
        <v>Skip</v>
      </c>
      <c r="C31" s="69"/>
      <c r="D31" s="389"/>
      <c r="E31" s="390"/>
      <c r="F31" s="519"/>
      <c r="G31" s="393"/>
      <c r="H31" s="519"/>
      <c r="I31" s="321"/>
      <c r="J31" s="395"/>
      <c r="K31" s="396"/>
      <c r="L31" s="397"/>
      <c r="M31" s="310"/>
      <c r="N31" s="400"/>
      <c r="O31" s="398" t="s">
        <v>278</v>
      </c>
      <c r="P31" s="399" t="s">
        <v>77</v>
      </c>
      <c r="Q31" s="317"/>
      <c r="R31" s="308"/>
      <c r="S31" s="308"/>
      <c r="T31" s="317"/>
      <c r="U31" s="324" t="str">
        <f>IF(ISERROR(VLOOKUP($T31, 'Reference data'!$J$2:$K$139, 2, FALSE)),"-",VLOOKUP($T31, 'Reference data'!$J$2:$K$139, 2, FALSE))</f>
        <v>-</v>
      </c>
      <c r="V31" s="308"/>
      <c r="W31" s="308"/>
      <c r="X31" s="312"/>
      <c r="Y31" s="313"/>
      <c r="Z31" s="69"/>
      <c r="AA31" s="341"/>
      <c r="AB31" s="82"/>
      <c r="AC31" s="71"/>
      <c r="AD31" s="319"/>
      <c r="AE31" s="226" t="s">
        <v>278</v>
      </c>
      <c r="AF31" s="230" t="s">
        <v>77</v>
      </c>
      <c r="AG31" s="322"/>
    </row>
    <row r="32" spans="2:39" s="287" customFormat="1" ht="13" x14ac:dyDescent="0.3">
      <c r="B32" s="326" t="str">
        <f>IF(C32="","Skip",IF(AND(Validator!G26=TRUE,Validator!G276=TRUE,Validator!G526=TRUE,Validator!G776=TRUE,Validator!G1026=TRUE,Validator!G1276=TRUE),"Valid","Invalid"))</f>
        <v>Skip</v>
      </c>
      <c r="C32" s="69"/>
      <c r="D32" s="389"/>
      <c r="E32" s="390"/>
      <c r="F32" s="519"/>
      <c r="G32" s="393"/>
      <c r="H32" s="519"/>
      <c r="I32" s="321"/>
      <c r="J32" s="395"/>
      <c r="K32" s="396"/>
      <c r="L32" s="397"/>
      <c r="M32" s="310"/>
      <c r="N32" s="400"/>
      <c r="O32" s="398" t="s">
        <v>278</v>
      </c>
      <c r="P32" s="399" t="s">
        <v>77</v>
      </c>
      <c r="Q32" s="317"/>
      <c r="R32" s="308"/>
      <c r="S32" s="308"/>
      <c r="T32" s="317"/>
      <c r="U32" s="324" t="str">
        <f>IF(ISERROR(VLOOKUP($T32, 'Reference data'!$J$2:$K$139, 2, FALSE)),"-",VLOOKUP($T32, 'Reference data'!$J$2:$K$139, 2, FALSE))</f>
        <v>-</v>
      </c>
      <c r="V32" s="308"/>
      <c r="W32" s="308"/>
      <c r="X32" s="312"/>
      <c r="Y32" s="313"/>
      <c r="Z32" s="69"/>
      <c r="AA32" s="341"/>
      <c r="AB32" s="82"/>
      <c r="AC32" s="71"/>
      <c r="AD32" s="319"/>
      <c r="AE32" s="226" t="s">
        <v>278</v>
      </c>
      <c r="AF32" s="230" t="s">
        <v>77</v>
      </c>
      <c r="AG32" s="322"/>
    </row>
    <row r="33" spans="2:33" s="287" customFormat="1" ht="13" x14ac:dyDescent="0.3">
      <c r="B33" s="326" t="str">
        <f>IF(C33="","Skip",IF(AND(Validator!G27=TRUE,Validator!G277=TRUE,Validator!G527=TRUE,Validator!G777=TRUE,Validator!G1027=TRUE,Validator!G1277=TRUE),"Valid","Invalid"))</f>
        <v>Skip</v>
      </c>
      <c r="C33" s="69"/>
      <c r="D33" s="389"/>
      <c r="E33" s="390"/>
      <c r="F33" s="519"/>
      <c r="G33" s="393"/>
      <c r="H33" s="519"/>
      <c r="I33" s="321"/>
      <c r="J33" s="395"/>
      <c r="K33" s="396"/>
      <c r="L33" s="397"/>
      <c r="M33" s="310"/>
      <c r="N33" s="400"/>
      <c r="O33" s="398" t="s">
        <v>278</v>
      </c>
      <c r="P33" s="399" t="s">
        <v>77</v>
      </c>
      <c r="Q33" s="317"/>
      <c r="R33" s="308"/>
      <c r="S33" s="308"/>
      <c r="T33" s="317"/>
      <c r="U33" s="324" t="str">
        <f>IF(ISERROR(VLOOKUP($T33, 'Reference data'!$J$2:$K$139, 2, FALSE)),"-",VLOOKUP($T33, 'Reference data'!$J$2:$K$139, 2, FALSE))</f>
        <v>-</v>
      </c>
      <c r="V33" s="308"/>
      <c r="W33" s="308"/>
      <c r="X33" s="312"/>
      <c r="Y33" s="313"/>
      <c r="Z33" s="69"/>
      <c r="AA33" s="341"/>
      <c r="AB33" s="82"/>
      <c r="AC33" s="71"/>
      <c r="AD33" s="319"/>
      <c r="AE33" s="226" t="s">
        <v>278</v>
      </c>
      <c r="AF33" s="230" t="s">
        <v>77</v>
      </c>
      <c r="AG33" s="322"/>
    </row>
    <row r="34" spans="2:33" s="287" customFormat="1" ht="13" x14ac:dyDescent="0.3">
      <c r="B34" s="326" t="str">
        <f>IF(C34="","Skip",IF(AND(Validator!G28=TRUE,Validator!G278=TRUE,Validator!G528=TRUE,Validator!G778=TRUE,Validator!G1028=TRUE,Validator!G1278=TRUE),"Valid","Invalid"))</f>
        <v>Skip</v>
      </c>
      <c r="C34" s="69"/>
      <c r="D34" s="389"/>
      <c r="E34" s="390"/>
      <c r="F34" s="519"/>
      <c r="G34" s="393"/>
      <c r="H34" s="519"/>
      <c r="I34" s="321"/>
      <c r="J34" s="395"/>
      <c r="K34" s="396"/>
      <c r="L34" s="397"/>
      <c r="M34" s="310"/>
      <c r="N34" s="400"/>
      <c r="O34" s="398" t="s">
        <v>278</v>
      </c>
      <c r="P34" s="399" t="s">
        <v>77</v>
      </c>
      <c r="Q34" s="317"/>
      <c r="R34" s="308"/>
      <c r="S34" s="308"/>
      <c r="T34" s="317"/>
      <c r="U34" s="324" t="str">
        <f>IF(ISERROR(VLOOKUP($T34, 'Reference data'!$J$2:$K$139, 2, FALSE)),"-",VLOOKUP($T34, 'Reference data'!$J$2:$K$139, 2, FALSE))</f>
        <v>-</v>
      </c>
      <c r="V34" s="308"/>
      <c r="W34" s="308"/>
      <c r="X34" s="312"/>
      <c r="Y34" s="313"/>
      <c r="Z34" s="69"/>
      <c r="AA34" s="341"/>
      <c r="AB34" s="82"/>
      <c r="AC34" s="71"/>
      <c r="AD34" s="319"/>
      <c r="AE34" s="226" t="s">
        <v>278</v>
      </c>
      <c r="AF34" s="230" t="s">
        <v>77</v>
      </c>
      <c r="AG34" s="322"/>
    </row>
    <row r="35" spans="2:33" s="287" customFormat="1" ht="13" x14ac:dyDescent="0.3">
      <c r="B35" s="326" t="str">
        <f>IF(C35="","Skip",IF(AND(Validator!G29=TRUE,Validator!G279=TRUE,Validator!G529=TRUE,Validator!G779=TRUE,Validator!G1029=TRUE,Validator!G1279=TRUE),"Valid","Invalid"))</f>
        <v>Skip</v>
      </c>
      <c r="C35" s="69"/>
      <c r="D35" s="389"/>
      <c r="E35" s="390"/>
      <c r="F35" s="519"/>
      <c r="G35" s="393"/>
      <c r="H35" s="519"/>
      <c r="I35" s="321"/>
      <c r="J35" s="395"/>
      <c r="K35" s="396"/>
      <c r="L35" s="397"/>
      <c r="M35" s="310"/>
      <c r="N35" s="400"/>
      <c r="O35" s="398" t="s">
        <v>278</v>
      </c>
      <c r="P35" s="399" t="s">
        <v>77</v>
      </c>
      <c r="Q35" s="317"/>
      <c r="R35" s="308"/>
      <c r="S35" s="308"/>
      <c r="T35" s="317"/>
      <c r="U35" s="324" t="str">
        <f>IF(ISERROR(VLOOKUP($T35, 'Reference data'!$J$2:$K$139, 2, FALSE)),"-",VLOOKUP($T35, 'Reference data'!$J$2:$K$139, 2, FALSE))</f>
        <v>-</v>
      </c>
      <c r="V35" s="308"/>
      <c r="W35" s="308"/>
      <c r="X35" s="312"/>
      <c r="Y35" s="313"/>
      <c r="Z35" s="69"/>
      <c r="AA35" s="341"/>
      <c r="AB35" s="82"/>
      <c r="AC35" s="71"/>
      <c r="AD35" s="319"/>
      <c r="AE35" s="226" t="s">
        <v>278</v>
      </c>
      <c r="AF35" s="230" t="s">
        <v>77</v>
      </c>
      <c r="AG35" s="322"/>
    </row>
    <row r="36" spans="2:33" s="287" customFormat="1" ht="13" x14ac:dyDescent="0.3">
      <c r="B36" s="326" t="str">
        <f>IF(C36="","Skip",IF(AND(Validator!G30=TRUE,Validator!G280=TRUE,Validator!G530=TRUE,Validator!G780=TRUE,Validator!G1030=TRUE,Validator!G1280=TRUE),"Valid","Invalid"))</f>
        <v>Skip</v>
      </c>
      <c r="C36" s="69"/>
      <c r="D36" s="389"/>
      <c r="E36" s="390"/>
      <c r="F36" s="519"/>
      <c r="G36" s="393"/>
      <c r="H36" s="519"/>
      <c r="I36" s="321"/>
      <c r="J36" s="395"/>
      <c r="K36" s="396"/>
      <c r="L36" s="397"/>
      <c r="M36" s="310"/>
      <c r="N36" s="400"/>
      <c r="O36" s="398" t="s">
        <v>278</v>
      </c>
      <c r="P36" s="399" t="s">
        <v>77</v>
      </c>
      <c r="Q36" s="317"/>
      <c r="R36" s="308"/>
      <c r="S36" s="308"/>
      <c r="T36" s="317"/>
      <c r="U36" s="324" t="str">
        <f>IF(ISERROR(VLOOKUP($T36, 'Reference data'!$J$2:$K$139, 2, FALSE)),"-",VLOOKUP($T36, 'Reference data'!$J$2:$K$139, 2, FALSE))</f>
        <v>-</v>
      </c>
      <c r="V36" s="308"/>
      <c r="W36" s="308"/>
      <c r="X36" s="312"/>
      <c r="Y36" s="313"/>
      <c r="Z36" s="69"/>
      <c r="AA36" s="341"/>
      <c r="AB36" s="82"/>
      <c r="AC36" s="71"/>
      <c r="AD36" s="319"/>
      <c r="AE36" s="226" t="s">
        <v>278</v>
      </c>
      <c r="AF36" s="230" t="s">
        <v>77</v>
      </c>
      <c r="AG36" s="322"/>
    </row>
    <row r="37" spans="2:33" s="287" customFormat="1" ht="13" x14ac:dyDescent="0.3">
      <c r="B37" s="326" t="str">
        <f>IF(C37="","Skip",IF(AND(Validator!G31=TRUE,Validator!G281=TRUE,Validator!G531=TRUE,Validator!G781=TRUE,Validator!G1031=TRUE,Validator!G1281=TRUE),"Valid","Invalid"))</f>
        <v>Skip</v>
      </c>
      <c r="C37" s="69"/>
      <c r="D37" s="389"/>
      <c r="E37" s="390"/>
      <c r="F37" s="519"/>
      <c r="G37" s="393"/>
      <c r="H37" s="519"/>
      <c r="I37" s="321"/>
      <c r="J37" s="395"/>
      <c r="K37" s="396"/>
      <c r="L37" s="397"/>
      <c r="M37" s="310"/>
      <c r="N37" s="400"/>
      <c r="O37" s="398" t="s">
        <v>278</v>
      </c>
      <c r="P37" s="399" t="s">
        <v>77</v>
      </c>
      <c r="Q37" s="317"/>
      <c r="R37" s="308"/>
      <c r="S37" s="308"/>
      <c r="T37" s="317"/>
      <c r="U37" s="324" t="str">
        <f>IF(ISERROR(VLOOKUP($T37, 'Reference data'!$J$2:$K$139, 2, FALSE)),"-",VLOOKUP($T37, 'Reference data'!$J$2:$K$139, 2, FALSE))</f>
        <v>-</v>
      </c>
      <c r="V37" s="308"/>
      <c r="W37" s="308"/>
      <c r="X37" s="312"/>
      <c r="Y37" s="313"/>
      <c r="Z37" s="69"/>
      <c r="AA37" s="341"/>
      <c r="AB37" s="82"/>
      <c r="AC37" s="71"/>
      <c r="AD37" s="319"/>
      <c r="AE37" s="226" t="s">
        <v>278</v>
      </c>
      <c r="AF37" s="230" t="s">
        <v>77</v>
      </c>
      <c r="AG37" s="322"/>
    </row>
    <row r="38" spans="2:33" s="287" customFormat="1" ht="13" x14ac:dyDescent="0.3">
      <c r="B38" s="326" t="str">
        <f>IF(C38="","Skip",IF(AND(Validator!G32=TRUE,Validator!G282=TRUE,Validator!G532=TRUE,Validator!G782=TRUE,Validator!G1032=TRUE,Validator!G1282=TRUE),"Valid","Invalid"))</f>
        <v>Skip</v>
      </c>
      <c r="C38" s="69"/>
      <c r="D38" s="389"/>
      <c r="E38" s="390"/>
      <c r="F38" s="519"/>
      <c r="G38" s="393"/>
      <c r="H38" s="519"/>
      <c r="I38" s="321"/>
      <c r="J38" s="395"/>
      <c r="K38" s="396"/>
      <c r="L38" s="397"/>
      <c r="M38" s="310"/>
      <c r="N38" s="400"/>
      <c r="O38" s="398" t="s">
        <v>278</v>
      </c>
      <c r="P38" s="399" t="s">
        <v>77</v>
      </c>
      <c r="Q38" s="317"/>
      <c r="R38" s="308"/>
      <c r="S38" s="308"/>
      <c r="T38" s="317"/>
      <c r="U38" s="324" t="str">
        <f>IF(ISERROR(VLOOKUP($T38, 'Reference data'!$J$2:$K$139, 2, FALSE)),"-",VLOOKUP($T38, 'Reference data'!$J$2:$K$139, 2, FALSE))</f>
        <v>-</v>
      </c>
      <c r="V38" s="308"/>
      <c r="W38" s="308"/>
      <c r="X38" s="312"/>
      <c r="Y38" s="313"/>
      <c r="Z38" s="69"/>
      <c r="AA38" s="341"/>
      <c r="AB38" s="82"/>
      <c r="AC38" s="71"/>
      <c r="AD38" s="319"/>
      <c r="AE38" s="226" t="s">
        <v>278</v>
      </c>
      <c r="AF38" s="230" t="s">
        <v>77</v>
      </c>
      <c r="AG38" s="322"/>
    </row>
    <row r="39" spans="2:33" s="287" customFormat="1" ht="13" x14ac:dyDescent="0.3">
      <c r="B39" s="326" t="str">
        <f>IF(C39="","Skip",IF(AND(Validator!G33=TRUE,Validator!G283=TRUE,Validator!G533=TRUE,Validator!G783=TRUE,Validator!G1033=TRUE,Validator!G1283=TRUE),"Valid","Invalid"))</f>
        <v>Skip</v>
      </c>
      <c r="C39" s="69"/>
      <c r="D39" s="389"/>
      <c r="E39" s="390"/>
      <c r="F39" s="519"/>
      <c r="G39" s="393"/>
      <c r="H39" s="519"/>
      <c r="I39" s="321"/>
      <c r="J39" s="395"/>
      <c r="K39" s="396"/>
      <c r="L39" s="397"/>
      <c r="M39" s="310"/>
      <c r="N39" s="400"/>
      <c r="O39" s="398" t="s">
        <v>278</v>
      </c>
      <c r="P39" s="399" t="s">
        <v>77</v>
      </c>
      <c r="Q39" s="317"/>
      <c r="R39" s="308"/>
      <c r="S39" s="308"/>
      <c r="T39" s="317"/>
      <c r="U39" s="324" t="str">
        <f>IF(ISERROR(VLOOKUP($T39, 'Reference data'!$J$2:$K$139, 2, FALSE)),"-",VLOOKUP($T39, 'Reference data'!$J$2:$K$139, 2, FALSE))</f>
        <v>-</v>
      </c>
      <c r="V39" s="308"/>
      <c r="W39" s="308"/>
      <c r="X39" s="312"/>
      <c r="Y39" s="313"/>
      <c r="Z39" s="69"/>
      <c r="AA39" s="341"/>
      <c r="AB39" s="82"/>
      <c r="AC39" s="71"/>
      <c r="AD39" s="319"/>
      <c r="AE39" s="226" t="s">
        <v>278</v>
      </c>
      <c r="AF39" s="230" t="s">
        <v>77</v>
      </c>
      <c r="AG39" s="322"/>
    </row>
    <row r="40" spans="2:33" s="287" customFormat="1" ht="13" x14ac:dyDescent="0.3">
      <c r="B40" s="326" t="str">
        <f>IF(C40="","Skip",IF(AND(Validator!G34=TRUE,Validator!G284=TRUE,Validator!G534=TRUE,Validator!G784=TRUE,Validator!G1034=TRUE,Validator!G1284=TRUE),"Valid","Invalid"))</f>
        <v>Skip</v>
      </c>
      <c r="C40" s="69"/>
      <c r="D40" s="389"/>
      <c r="E40" s="390"/>
      <c r="F40" s="519"/>
      <c r="G40" s="393"/>
      <c r="H40" s="519"/>
      <c r="I40" s="321"/>
      <c r="J40" s="395"/>
      <c r="K40" s="396"/>
      <c r="L40" s="397"/>
      <c r="M40" s="310"/>
      <c r="N40" s="400"/>
      <c r="O40" s="398" t="s">
        <v>278</v>
      </c>
      <c r="P40" s="399" t="s">
        <v>77</v>
      </c>
      <c r="Q40" s="317"/>
      <c r="R40" s="308"/>
      <c r="S40" s="308"/>
      <c r="T40" s="317"/>
      <c r="U40" s="324" t="str">
        <f>IF(ISERROR(VLOOKUP($T40, 'Reference data'!$J$2:$K$139, 2, FALSE)),"-",VLOOKUP($T40, 'Reference data'!$J$2:$K$139, 2, FALSE))</f>
        <v>-</v>
      </c>
      <c r="V40" s="308"/>
      <c r="W40" s="308"/>
      <c r="X40" s="312"/>
      <c r="Y40" s="313"/>
      <c r="Z40" s="69"/>
      <c r="AA40" s="341"/>
      <c r="AB40" s="82"/>
      <c r="AC40" s="71"/>
      <c r="AD40" s="319"/>
      <c r="AE40" s="226" t="s">
        <v>278</v>
      </c>
      <c r="AF40" s="230" t="s">
        <v>77</v>
      </c>
      <c r="AG40" s="322"/>
    </row>
    <row r="41" spans="2:33" s="287" customFormat="1" ht="13" x14ac:dyDescent="0.3">
      <c r="B41" s="326" t="str">
        <f>IF(C41="","Skip",IF(AND(Validator!G35=TRUE,Validator!G285=TRUE,Validator!G535=TRUE,Validator!G785=TRUE,Validator!G1035=TRUE,Validator!G1285=TRUE),"Valid","Invalid"))</f>
        <v>Skip</v>
      </c>
      <c r="C41" s="69"/>
      <c r="D41" s="389"/>
      <c r="E41" s="390"/>
      <c r="F41" s="519"/>
      <c r="G41" s="393"/>
      <c r="H41" s="519"/>
      <c r="I41" s="321"/>
      <c r="J41" s="395"/>
      <c r="K41" s="396"/>
      <c r="L41" s="397"/>
      <c r="M41" s="310"/>
      <c r="N41" s="400"/>
      <c r="O41" s="398" t="s">
        <v>278</v>
      </c>
      <c r="P41" s="399" t="s">
        <v>77</v>
      </c>
      <c r="Q41" s="317"/>
      <c r="R41" s="308"/>
      <c r="S41" s="308"/>
      <c r="T41" s="317"/>
      <c r="U41" s="324" t="str">
        <f>IF(ISERROR(VLOOKUP($T41, 'Reference data'!$J$2:$K$139, 2, FALSE)),"-",VLOOKUP($T41, 'Reference data'!$J$2:$K$139, 2, FALSE))</f>
        <v>-</v>
      </c>
      <c r="V41" s="308"/>
      <c r="W41" s="308"/>
      <c r="X41" s="312"/>
      <c r="Y41" s="313"/>
      <c r="Z41" s="69"/>
      <c r="AA41" s="341"/>
      <c r="AB41" s="82"/>
      <c r="AC41" s="71"/>
      <c r="AD41" s="319"/>
      <c r="AE41" s="226" t="s">
        <v>278</v>
      </c>
      <c r="AF41" s="230" t="s">
        <v>77</v>
      </c>
      <c r="AG41" s="322"/>
    </row>
    <row r="42" spans="2:33" s="287" customFormat="1" ht="13" x14ac:dyDescent="0.3">
      <c r="B42" s="326" t="str">
        <f>IF(C42="","Skip",IF(AND(Validator!G36=TRUE,Validator!G286=TRUE,Validator!G536=TRUE,Validator!G786=TRUE,Validator!G1036=TRUE,Validator!G1286=TRUE),"Valid","Invalid"))</f>
        <v>Skip</v>
      </c>
      <c r="C42" s="69"/>
      <c r="D42" s="389"/>
      <c r="E42" s="390"/>
      <c r="F42" s="519"/>
      <c r="G42" s="393"/>
      <c r="H42" s="519"/>
      <c r="I42" s="321"/>
      <c r="J42" s="395"/>
      <c r="K42" s="396"/>
      <c r="L42" s="397"/>
      <c r="M42" s="310"/>
      <c r="N42" s="400"/>
      <c r="O42" s="398" t="s">
        <v>278</v>
      </c>
      <c r="P42" s="399" t="s">
        <v>77</v>
      </c>
      <c r="Q42" s="317"/>
      <c r="R42" s="308"/>
      <c r="S42" s="308"/>
      <c r="T42" s="317"/>
      <c r="U42" s="324" t="str">
        <f>IF(ISERROR(VLOOKUP($T42, 'Reference data'!$J$2:$K$139, 2, FALSE)),"-",VLOOKUP($T42, 'Reference data'!$J$2:$K$139, 2, FALSE))</f>
        <v>-</v>
      </c>
      <c r="V42" s="308"/>
      <c r="W42" s="308"/>
      <c r="X42" s="312"/>
      <c r="Y42" s="313"/>
      <c r="Z42" s="69"/>
      <c r="AA42" s="341"/>
      <c r="AB42" s="82"/>
      <c r="AC42" s="71"/>
      <c r="AD42" s="319"/>
      <c r="AE42" s="226" t="s">
        <v>278</v>
      </c>
      <c r="AF42" s="230" t="s">
        <v>77</v>
      </c>
      <c r="AG42" s="322"/>
    </row>
    <row r="43" spans="2:33" s="287" customFormat="1" ht="13" x14ac:dyDescent="0.3">
      <c r="B43" s="326" t="str">
        <f>IF(C43="","Skip",IF(AND(Validator!G37=TRUE,Validator!G287=TRUE,Validator!G537=TRUE,Validator!G787=TRUE,Validator!G1037=TRUE,Validator!G1287=TRUE),"Valid","Invalid"))</f>
        <v>Skip</v>
      </c>
      <c r="C43" s="69"/>
      <c r="D43" s="389"/>
      <c r="E43" s="390"/>
      <c r="F43" s="519"/>
      <c r="G43" s="393"/>
      <c r="H43" s="519"/>
      <c r="I43" s="321"/>
      <c r="J43" s="395"/>
      <c r="K43" s="396"/>
      <c r="L43" s="397"/>
      <c r="M43" s="310"/>
      <c r="N43" s="400"/>
      <c r="O43" s="398" t="s">
        <v>278</v>
      </c>
      <c r="P43" s="399" t="s">
        <v>77</v>
      </c>
      <c r="Q43" s="317"/>
      <c r="R43" s="308"/>
      <c r="S43" s="308"/>
      <c r="T43" s="317"/>
      <c r="U43" s="324" t="str">
        <f>IF(ISERROR(VLOOKUP($T43, 'Reference data'!$J$2:$K$139, 2, FALSE)),"-",VLOOKUP($T43, 'Reference data'!$J$2:$K$139, 2, FALSE))</f>
        <v>-</v>
      </c>
      <c r="V43" s="308"/>
      <c r="W43" s="308"/>
      <c r="X43" s="312"/>
      <c r="Y43" s="313"/>
      <c r="Z43" s="69"/>
      <c r="AA43" s="341"/>
      <c r="AB43" s="82"/>
      <c r="AC43" s="71"/>
      <c r="AD43" s="319"/>
      <c r="AE43" s="226" t="s">
        <v>278</v>
      </c>
      <c r="AF43" s="230" t="s">
        <v>77</v>
      </c>
      <c r="AG43" s="322"/>
    </row>
    <row r="44" spans="2:33" s="287" customFormat="1" ht="13" x14ac:dyDescent="0.3">
      <c r="B44" s="326" t="str">
        <f>IF(C44="","Skip",IF(AND(Validator!G38=TRUE,Validator!G288=TRUE,Validator!G538=TRUE,Validator!G788=TRUE,Validator!G1038=TRUE,Validator!G1288=TRUE),"Valid","Invalid"))</f>
        <v>Skip</v>
      </c>
      <c r="C44" s="69"/>
      <c r="D44" s="389"/>
      <c r="E44" s="390"/>
      <c r="F44" s="519"/>
      <c r="G44" s="393"/>
      <c r="H44" s="519"/>
      <c r="I44" s="321"/>
      <c r="J44" s="395"/>
      <c r="K44" s="396"/>
      <c r="L44" s="397"/>
      <c r="M44" s="310"/>
      <c r="N44" s="400"/>
      <c r="O44" s="398" t="s">
        <v>278</v>
      </c>
      <c r="P44" s="399" t="s">
        <v>77</v>
      </c>
      <c r="Q44" s="317"/>
      <c r="R44" s="308"/>
      <c r="S44" s="308"/>
      <c r="T44" s="317"/>
      <c r="U44" s="324" t="str">
        <f>IF(ISERROR(VLOOKUP($T44, 'Reference data'!$J$2:$K$139, 2, FALSE)),"-",VLOOKUP($T44, 'Reference data'!$J$2:$K$139, 2, FALSE))</f>
        <v>-</v>
      </c>
      <c r="V44" s="308"/>
      <c r="W44" s="308"/>
      <c r="X44" s="312"/>
      <c r="Y44" s="313"/>
      <c r="Z44" s="69"/>
      <c r="AA44" s="341"/>
      <c r="AB44" s="82"/>
      <c r="AC44" s="71"/>
      <c r="AD44" s="319"/>
      <c r="AE44" s="226" t="s">
        <v>278</v>
      </c>
      <c r="AF44" s="230" t="s">
        <v>77</v>
      </c>
      <c r="AG44" s="322"/>
    </row>
    <row r="45" spans="2:33" s="287" customFormat="1" ht="13" x14ac:dyDescent="0.3">
      <c r="B45" s="326" t="str">
        <f>IF(C45="","Skip",IF(AND(Validator!G39=TRUE,Validator!G289=TRUE,Validator!G539=TRUE,Validator!G789=TRUE,Validator!G1039=TRUE,Validator!G1289=TRUE),"Valid","Invalid"))</f>
        <v>Skip</v>
      </c>
      <c r="C45" s="69"/>
      <c r="D45" s="389"/>
      <c r="E45" s="390"/>
      <c r="F45" s="519"/>
      <c r="G45" s="393"/>
      <c r="H45" s="519"/>
      <c r="I45" s="321"/>
      <c r="J45" s="395"/>
      <c r="K45" s="396"/>
      <c r="L45" s="397"/>
      <c r="M45" s="310"/>
      <c r="N45" s="400"/>
      <c r="O45" s="398" t="s">
        <v>278</v>
      </c>
      <c r="P45" s="399" t="s">
        <v>77</v>
      </c>
      <c r="Q45" s="317"/>
      <c r="R45" s="308"/>
      <c r="S45" s="308"/>
      <c r="T45" s="317"/>
      <c r="U45" s="324" t="str">
        <f>IF(ISERROR(VLOOKUP($T45, 'Reference data'!$J$2:$K$139, 2, FALSE)),"-",VLOOKUP($T45, 'Reference data'!$J$2:$K$139, 2, FALSE))</f>
        <v>-</v>
      </c>
      <c r="V45" s="308"/>
      <c r="W45" s="308"/>
      <c r="X45" s="312"/>
      <c r="Y45" s="313"/>
      <c r="Z45" s="69"/>
      <c r="AA45" s="341"/>
      <c r="AB45" s="82"/>
      <c r="AC45" s="71"/>
      <c r="AD45" s="319"/>
      <c r="AE45" s="226" t="s">
        <v>278</v>
      </c>
      <c r="AF45" s="230" t="s">
        <v>77</v>
      </c>
      <c r="AG45" s="322"/>
    </row>
    <row r="46" spans="2:33" s="287" customFormat="1" ht="13" x14ac:dyDescent="0.3">
      <c r="B46" s="326" t="str">
        <f>IF(C46="","Skip",IF(AND(Validator!G40=TRUE,Validator!G290=TRUE,Validator!G540=TRUE,Validator!G790=TRUE,Validator!G1040=TRUE,Validator!G1290=TRUE),"Valid","Invalid"))</f>
        <v>Skip</v>
      </c>
      <c r="C46" s="69"/>
      <c r="D46" s="389"/>
      <c r="E46" s="390"/>
      <c r="F46" s="519"/>
      <c r="G46" s="393"/>
      <c r="H46" s="519"/>
      <c r="I46" s="321"/>
      <c r="J46" s="395"/>
      <c r="K46" s="396"/>
      <c r="L46" s="397"/>
      <c r="M46" s="310"/>
      <c r="N46" s="400"/>
      <c r="O46" s="398" t="s">
        <v>278</v>
      </c>
      <c r="P46" s="399" t="s">
        <v>77</v>
      </c>
      <c r="Q46" s="317"/>
      <c r="R46" s="308"/>
      <c r="S46" s="308"/>
      <c r="T46" s="317"/>
      <c r="U46" s="324" t="str">
        <f>IF(ISERROR(VLOOKUP($T46, 'Reference data'!$J$2:$K$139, 2, FALSE)),"-",VLOOKUP($T46, 'Reference data'!$J$2:$K$139, 2, FALSE))</f>
        <v>-</v>
      </c>
      <c r="V46" s="308"/>
      <c r="W46" s="308"/>
      <c r="X46" s="312"/>
      <c r="Y46" s="313"/>
      <c r="Z46" s="69"/>
      <c r="AA46" s="341"/>
      <c r="AB46" s="82"/>
      <c r="AC46" s="71"/>
      <c r="AD46" s="319"/>
      <c r="AE46" s="226" t="s">
        <v>278</v>
      </c>
      <c r="AF46" s="230" t="s">
        <v>77</v>
      </c>
      <c r="AG46" s="322"/>
    </row>
    <row r="47" spans="2:33" s="287" customFormat="1" ht="13" x14ac:dyDescent="0.3">
      <c r="B47" s="326" t="str">
        <f>IF(C47="","Skip",IF(AND(Validator!G41=TRUE,Validator!G291=TRUE,Validator!G541=TRUE,Validator!G791=TRUE,Validator!G1041=TRUE,Validator!G1291=TRUE),"Valid","Invalid"))</f>
        <v>Skip</v>
      </c>
      <c r="C47" s="69"/>
      <c r="D47" s="389"/>
      <c r="E47" s="390"/>
      <c r="F47" s="519"/>
      <c r="G47" s="393"/>
      <c r="H47" s="519"/>
      <c r="I47" s="321"/>
      <c r="J47" s="395"/>
      <c r="K47" s="396"/>
      <c r="L47" s="397"/>
      <c r="M47" s="310"/>
      <c r="N47" s="400"/>
      <c r="O47" s="398" t="s">
        <v>278</v>
      </c>
      <c r="P47" s="399" t="s">
        <v>77</v>
      </c>
      <c r="Q47" s="317"/>
      <c r="R47" s="308"/>
      <c r="S47" s="308"/>
      <c r="T47" s="317"/>
      <c r="U47" s="324" t="str">
        <f>IF(ISERROR(VLOOKUP($T47, 'Reference data'!$J$2:$K$139, 2, FALSE)),"-",VLOOKUP($T47, 'Reference data'!$J$2:$K$139, 2, FALSE))</f>
        <v>-</v>
      </c>
      <c r="V47" s="308"/>
      <c r="W47" s="308"/>
      <c r="X47" s="312"/>
      <c r="Y47" s="313"/>
      <c r="Z47" s="69"/>
      <c r="AA47" s="341"/>
      <c r="AB47" s="82"/>
      <c r="AC47" s="71"/>
      <c r="AD47" s="319"/>
      <c r="AE47" s="226" t="s">
        <v>278</v>
      </c>
      <c r="AF47" s="230" t="s">
        <v>77</v>
      </c>
      <c r="AG47" s="322"/>
    </row>
    <row r="48" spans="2:33" s="287" customFormat="1" ht="13" x14ac:dyDescent="0.3">
      <c r="B48" s="326" t="str">
        <f>IF(C48="","Skip",IF(AND(Validator!G42=TRUE,Validator!G292=TRUE,Validator!G542=TRUE,Validator!G792=TRUE,Validator!G1042=TRUE,Validator!G1292=TRUE),"Valid","Invalid"))</f>
        <v>Skip</v>
      </c>
      <c r="C48" s="69"/>
      <c r="D48" s="389"/>
      <c r="E48" s="390"/>
      <c r="F48" s="519"/>
      <c r="G48" s="393"/>
      <c r="H48" s="519"/>
      <c r="I48" s="321"/>
      <c r="J48" s="395"/>
      <c r="K48" s="396"/>
      <c r="L48" s="397"/>
      <c r="M48" s="310"/>
      <c r="N48" s="400"/>
      <c r="O48" s="398" t="s">
        <v>278</v>
      </c>
      <c r="P48" s="399" t="s">
        <v>77</v>
      </c>
      <c r="Q48" s="317"/>
      <c r="R48" s="308"/>
      <c r="S48" s="308"/>
      <c r="T48" s="317"/>
      <c r="U48" s="324" t="str">
        <f>IF(ISERROR(VLOOKUP($T48, 'Reference data'!$J$2:$K$139, 2, FALSE)),"-",VLOOKUP($T48, 'Reference data'!$J$2:$K$139, 2, FALSE))</f>
        <v>-</v>
      </c>
      <c r="V48" s="308"/>
      <c r="W48" s="308"/>
      <c r="X48" s="312"/>
      <c r="Y48" s="313"/>
      <c r="Z48" s="69"/>
      <c r="AA48" s="341"/>
      <c r="AB48" s="82"/>
      <c r="AC48" s="71"/>
      <c r="AD48" s="319"/>
      <c r="AE48" s="226" t="s">
        <v>278</v>
      </c>
      <c r="AF48" s="230" t="s">
        <v>77</v>
      </c>
      <c r="AG48" s="322"/>
    </row>
    <row r="49" spans="2:33" s="287" customFormat="1" ht="13" x14ac:dyDescent="0.3">
      <c r="B49" s="326" t="str">
        <f>IF(C49="","Skip",IF(AND(Validator!G43=TRUE,Validator!G293=TRUE,Validator!G543=TRUE,Validator!G793=TRUE,Validator!G1043=TRUE,Validator!G1293=TRUE),"Valid","Invalid"))</f>
        <v>Skip</v>
      </c>
      <c r="C49" s="69"/>
      <c r="D49" s="389"/>
      <c r="E49" s="390"/>
      <c r="F49" s="519"/>
      <c r="G49" s="393"/>
      <c r="H49" s="519"/>
      <c r="I49" s="321"/>
      <c r="J49" s="395"/>
      <c r="K49" s="396"/>
      <c r="L49" s="397"/>
      <c r="M49" s="310"/>
      <c r="N49" s="400"/>
      <c r="O49" s="398" t="s">
        <v>278</v>
      </c>
      <c r="P49" s="399" t="s">
        <v>77</v>
      </c>
      <c r="Q49" s="317"/>
      <c r="R49" s="308"/>
      <c r="S49" s="308"/>
      <c r="T49" s="317"/>
      <c r="U49" s="324" t="str">
        <f>IF(ISERROR(VLOOKUP($T49, 'Reference data'!$J$2:$K$139, 2, FALSE)),"-",VLOOKUP($T49, 'Reference data'!$J$2:$K$139, 2, FALSE))</f>
        <v>-</v>
      </c>
      <c r="V49" s="308"/>
      <c r="W49" s="308"/>
      <c r="X49" s="312"/>
      <c r="Y49" s="313"/>
      <c r="Z49" s="69"/>
      <c r="AA49" s="341"/>
      <c r="AB49" s="82"/>
      <c r="AC49" s="71"/>
      <c r="AD49" s="319"/>
      <c r="AE49" s="226" t="s">
        <v>278</v>
      </c>
      <c r="AF49" s="230" t="s">
        <v>77</v>
      </c>
      <c r="AG49" s="322"/>
    </row>
    <row r="50" spans="2:33" s="287" customFormat="1" ht="13" x14ac:dyDescent="0.3">
      <c r="B50" s="326" t="str">
        <f>IF(C50="","Skip",IF(AND(Validator!G44=TRUE,Validator!G294=TRUE,Validator!G544=TRUE,Validator!G794=TRUE,Validator!G1044=TRUE,Validator!G1294=TRUE),"Valid","Invalid"))</f>
        <v>Skip</v>
      </c>
      <c r="C50" s="69"/>
      <c r="D50" s="389"/>
      <c r="E50" s="390"/>
      <c r="F50" s="519"/>
      <c r="G50" s="393"/>
      <c r="H50" s="519"/>
      <c r="I50" s="321"/>
      <c r="J50" s="395"/>
      <c r="K50" s="396"/>
      <c r="L50" s="397"/>
      <c r="M50" s="310"/>
      <c r="N50" s="400"/>
      <c r="O50" s="398" t="s">
        <v>278</v>
      </c>
      <c r="P50" s="399" t="s">
        <v>77</v>
      </c>
      <c r="Q50" s="317"/>
      <c r="R50" s="308"/>
      <c r="S50" s="308"/>
      <c r="T50" s="317"/>
      <c r="U50" s="324" t="str">
        <f>IF(ISERROR(VLOOKUP($T50, 'Reference data'!$J$2:$K$139, 2, FALSE)),"-",VLOOKUP($T50, 'Reference data'!$J$2:$K$139, 2, FALSE))</f>
        <v>-</v>
      </c>
      <c r="V50" s="308"/>
      <c r="W50" s="308"/>
      <c r="X50" s="312"/>
      <c r="Y50" s="313"/>
      <c r="Z50" s="69"/>
      <c r="AA50" s="341"/>
      <c r="AB50" s="82"/>
      <c r="AC50" s="71"/>
      <c r="AD50" s="319"/>
      <c r="AE50" s="226" t="s">
        <v>278</v>
      </c>
      <c r="AF50" s="230" t="s">
        <v>77</v>
      </c>
      <c r="AG50" s="322"/>
    </row>
    <row r="51" spans="2:33" s="287" customFormat="1" ht="13" x14ac:dyDescent="0.3">
      <c r="B51" s="326" t="str">
        <f>IF(C51="","Skip",IF(AND(Validator!G45=TRUE,Validator!G295=TRUE,Validator!G545=TRUE,Validator!G795=TRUE,Validator!G1045=TRUE,Validator!G1295=TRUE),"Valid","Invalid"))</f>
        <v>Skip</v>
      </c>
      <c r="C51" s="69"/>
      <c r="D51" s="389"/>
      <c r="E51" s="390"/>
      <c r="F51" s="519"/>
      <c r="G51" s="393"/>
      <c r="H51" s="519"/>
      <c r="I51" s="321"/>
      <c r="J51" s="395"/>
      <c r="K51" s="396"/>
      <c r="L51" s="397"/>
      <c r="M51" s="310"/>
      <c r="N51" s="400"/>
      <c r="O51" s="398" t="s">
        <v>278</v>
      </c>
      <c r="P51" s="399" t="s">
        <v>77</v>
      </c>
      <c r="Q51" s="317"/>
      <c r="R51" s="308"/>
      <c r="S51" s="308"/>
      <c r="T51" s="317"/>
      <c r="U51" s="324" t="str">
        <f>IF(ISERROR(VLOOKUP($T51, 'Reference data'!$J$2:$K$139, 2, FALSE)),"-",VLOOKUP($T51, 'Reference data'!$J$2:$K$139, 2, FALSE))</f>
        <v>-</v>
      </c>
      <c r="V51" s="308"/>
      <c r="W51" s="308"/>
      <c r="X51" s="312"/>
      <c r="Y51" s="313"/>
      <c r="Z51" s="69"/>
      <c r="AA51" s="341"/>
      <c r="AB51" s="82"/>
      <c r="AC51" s="71"/>
      <c r="AD51" s="319"/>
      <c r="AE51" s="226" t="s">
        <v>278</v>
      </c>
      <c r="AF51" s="230" t="s">
        <v>77</v>
      </c>
      <c r="AG51" s="322"/>
    </row>
    <row r="52" spans="2:33" s="287" customFormat="1" ht="13" x14ac:dyDescent="0.3">
      <c r="B52" s="326" t="str">
        <f>IF(C52="","Skip",IF(AND(Validator!G46=TRUE,Validator!G296=TRUE,Validator!G546=TRUE,Validator!G796=TRUE,Validator!G1046=TRUE,Validator!G1296=TRUE),"Valid","Invalid"))</f>
        <v>Skip</v>
      </c>
      <c r="C52" s="69"/>
      <c r="D52" s="389"/>
      <c r="E52" s="390"/>
      <c r="F52" s="519"/>
      <c r="G52" s="393"/>
      <c r="H52" s="519"/>
      <c r="I52" s="321"/>
      <c r="J52" s="395"/>
      <c r="K52" s="396"/>
      <c r="L52" s="397"/>
      <c r="M52" s="310"/>
      <c r="N52" s="400"/>
      <c r="O52" s="398" t="s">
        <v>278</v>
      </c>
      <c r="P52" s="399" t="s">
        <v>77</v>
      </c>
      <c r="Q52" s="317"/>
      <c r="R52" s="308"/>
      <c r="S52" s="308"/>
      <c r="T52" s="317"/>
      <c r="U52" s="324" t="str">
        <f>IF(ISERROR(VLOOKUP($T52, 'Reference data'!$J$2:$K$139, 2, FALSE)),"-",VLOOKUP($T52, 'Reference data'!$J$2:$K$139, 2, FALSE))</f>
        <v>-</v>
      </c>
      <c r="V52" s="308"/>
      <c r="W52" s="308"/>
      <c r="X52" s="312"/>
      <c r="Y52" s="313"/>
      <c r="Z52" s="69"/>
      <c r="AA52" s="341"/>
      <c r="AB52" s="82"/>
      <c r="AC52" s="71"/>
      <c r="AD52" s="319"/>
      <c r="AE52" s="226" t="s">
        <v>278</v>
      </c>
      <c r="AF52" s="230" t="s">
        <v>77</v>
      </c>
      <c r="AG52" s="322"/>
    </row>
    <row r="53" spans="2:33" s="287" customFormat="1" ht="13" x14ac:dyDescent="0.3">
      <c r="B53" s="326" t="str">
        <f>IF(C53="","Skip",IF(AND(Validator!G47=TRUE,Validator!G297=TRUE,Validator!G547=TRUE,Validator!G797=TRUE,Validator!G1047=TRUE,Validator!G1297=TRUE),"Valid","Invalid"))</f>
        <v>Skip</v>
      </c>
      <c r="C53" s="69"/>
      <c r="D53" s="389"/>
      <c r="E53" s="390"/>
      <c r="F53" s="519"/>
      <c r="G53" s="393"/>
      <c r="H53" s="519"/>
      <c r="I53" s="321"/>
      <c r="J53" s="395"/>
      <c r="K53" s="396"/>
      <c r="L53" s="397"/>
      <c r="M53" s="310"/>
      <c r="N53" s="400"/>
      <c r="O53" s="398" t="s">
        <v>278</v>
      </c>
      <c r="P53" s="399" t="s">
        <v>77</v>
      </c>
      <c r="Q53" s="317"/>
      <c r="R53" s="308"/>
      <c r="S53" s="308"/>
      <c r="T53" s="317"/>
      <c r="U53" s="324" t="str">
        <f>IF(ISERROR(VLOOKUP($T53, 'Reference data'!$J$2:$K$139, 2, FALSE)),"-",VLOOKUP($T53, 'Reference data'!$J$2:$K$139, 2, FALSE))</f>
        <v>-</v>
      </c>
      <c r="V53" s="308"/>
      <c r="W53" s="308"/>
      <c r="X53" s="312"/>
      <c r="Y53" s="313"/>
      <c r="Z53" s="69"/>
      <c r="AA53" s="341"/>
      <c r="AB53" s="82"/>
      <c r="AC53" s="71"/>
      <c r="AD53" s="319"/>
      <c r="AE53" s="226" t="s">
        <v>278</v>
      </c>
      <c r="AF53" s="230" t="s">
        <v>77</v>
      </c>
      <c r="AG53" s="322"/>
    </row>
    <row r="54" spans="2:33" s="287" customFormat="1" ht="13" x14ac:dyDescent="0.3">
      <c r="B54" s="326" t="str">
        <f>IF(C54="","Skip",IF(AND(Validator!G48=TRUE,Validator!G298=TRUE,Validator!G548=TRUE,Validator!G798=TRUE,Validator!G1048=TRUE,Validator!G1298=TRUE),"Valid","Invalid"))</f>
        <v>Skip</v>
      </c>
      <c r="C54" s="69"/>
      <c r="D54" s="389"/>
      <c r="E54" s="390"/>
      <c r="F54" s="519"/>
      <c r="G54" s="393"/>
      <c r="H54" s="519"/>
      <c r="I54" s="321"/>
      <c r="J54" s="395"/>
      <c r="K54" s="396"/>
      <c r="L54" s="397"/>
      <c r="M54" s="310"/>
      <c r="N54" s="400"/>
      <c r="O54" s="398" t="s">
        <v>278</v>
      </c>
      <c r="P54" s="399" t="s">
        <v>77</v>
      </c>
      <c r="Q54" s="317"/>
      <c r="R54" s="308"/>
      <c r="S54" s="308"/>
      <c r="T54" s="317"/>
      <c r="U54" s="324" t="str">
        <f>IF(ISERROR(VLOOKUP($T54, 'Reference data'!$J$2:$K$139, 2, FALSE)),"-",VLOOKUP($T54, 'Reference data'!$J$2:$K$139, 2, FALSE))</f>
        <v>-</v>
      </c>
      <c r="V54" s="308"/>
      <c r="W54" s="308"/>
      <c r="X54" s="312"/>
      <c r="Y54" s="313"/>
      <c r="Z54" s="69"/>
      <c r="AA54" s="341"/>
      <c r="AB54" s="82"/>
      <c r="AC54" s="71"/>
      <c r="AD54" s="319"/>
      <c r="AE54" s="226" t="s">
        <v>278</v>
      </c>
      <c r="AF54" s="230" t="s">
        <v>77</v>
      </c>
      <c r="AG54" s="322"/>
    </row>
    <row r="55" spans="2:33" s="287" customFormat="1" ht="13" x14ac:dyDescent="0.3">
      <c r="B55" s="326" t="str">
        <f>IF(C55="","Skip",IF(AND(Validator!G49=TRUE,Validator!G299=TRUE,Validator!G549=TRUE,Validator!G799=TRUE,Validator!G1049=TRUE,Validator!G1299=TRUE),"Valid","Invalid"))</f>
        <v>Skip</v>
      </c>
      <c r="C55" s="69"/>
      <c r="D55" s="389"/>
      <c r="E55" s="390"/>
      <c r="F55" s="519"/>
      <c r="G55" s="393"/>
      <c r="H55" s="519"/>
      <c r="I55" s="321"/>
      <c r="J55" s="395"/>
      <c r="K55" s="396"/>
      <c r="L55" s="397"/>
      <c r="M55" s="310"/>
      <c r="N55" s="400"/>
      <c r="O55" s="398" t="s">
        <v>278</v>
      </c>
      <c r="P55" s="399" t="s">
        <v>77</v>
      </c>
      <c r="Q55" s="317"/>
      <c r="R55" s="308"/>
      <c r="S55" s="308"/>
      <c r="T55" s="317"/>
      <c r="U55" s="324" t="str">
        <f>IF(ISERROR(VLOOKUP($T55, 'Reference data'!$J$2:$K$139, 2, FALSE)),"-",VLOOKUP($T55, 'Reference data'!$J$2:$K$139, 2, FALSE))</f>
        <v>-</v>
      </c>
      <c r="V55" s="308"/>
      <c r="W55" s="308"/>
      <c r="X55" s="312"/>
      <c r="Y55" s="313"/>
      <c r="Z55" s="69"/>
      <c r="AA55" s="341"/>
      <c r="AB55" s="82"/>
      <c r="AC55" s="71"/>
      <c r="AD55" s="319"/>
      <c r="AE55" s="226" t="s">
        <v>278</v>
      </c>
      <c r="AF55" s="230" t="s">
        <v>77</v>
      </c>
      <c r="AG55" s="322"/>
    </row>
    <row r="56" spans="2:33" s="287" customFormat="1" ht="13" x14ac:dyDescent="0.3">
      <c r="B56" s="326" t="str">
        <f>IF(C56="","Skip",IF(AND(Validator!G50=TRUE,Validator!G300=TRUE,Validator!G550=TRUE,Validator!G800=TRUE,Validator!G1050=TRUE,Validator!G1300=TRUE),"Valid","Invalid"))</f>
        <v>Skip</v>
      </c>
      <c r="C56" s="69"/>
      <c r="D56" s="389"/>
      <c r="E56" s="390"/>
      <c r="F56" s="519"/>
      <c r="G56" s="393"/>
      <c r="H56" s="519"/>
      <c r="I56" s="321"/>
      <c r="J56" s="395"/>
      <c r="K56" s="396"/>
      <c r="L56" s="397"/>
      <c r="M56" s="310"/>
      <c r="N56" s="400"/>
      <c r="O56" s="398" t="s">
        <v>278</v>
      </c>
      <c r="P56" s="399" t="s">
        <v>77</v>
      </c>
      <c r="Q56" s="317"/>
      <c r="R56" s="308"/>
      <c r="S56" s="308"/>
      <c r="T56" s="317"/>
      <c r="U56" s="324" t="str">
        <f>IF(ISERROR(VLOOKUP($T56, 'Reference data'!$J$2:$K$139, 2, FALSE)),"-",VLOOKUP($T56, 'Reference data'!$J$2:$K$139, 2, FALSE))</f>
        <v>-</v>
      </c>
      <c r="V56" s="308"/>
      <c r="W56" s="308"/>
      <c r="X56" s="312"/>
      <c r="Y56" s="313"/>
      <c r="Z56" s="69"/>
      <c r="AA56" s="341"/>
      <c r="AB56" s="82"/>
      <c r="AC56" s="71"/>
      <c r="AD56" s="319"/>
      <c r="AE56" s="226" t="s">
        <v>278</v>
      </c>
      <c r="AF56" s="230" t="s">
        <v>77</v>
      </c>
      <c r="AG56" s="322"/>
    </row>
    <row r="57" spans="2:33" s="287" customFormat="1" ht="13" x14ac:dyDescent="0.3">
      <c r="B57" s="326" t="str">
        <f>IF(C57="","Skip",IF(AND(Validator!G51=TRUE,Validator!G301=TRUE,Validator!G551=TRUE,Validator!G801=TRUE,Validator!G1051=TRUE,Validator!G1301=TRUE),"Valid","Invalid"))</f>
        <v>Skip</v>
      </c>
      <c r="C57" s="69"/>
      <c r="D57" s="389"/>
      <c r="E57" s="390"/>
      <c r="F57" s="519"/>
      <c r="G57" s="393"/>
      <c r="H57" s="519"/>
      <c r="I57" s="321"/>
      <c r="J57" s="395"/>
      <c r="K57" s="396"/>
      <c r="L57" s="397"/>
      <c r="M57" s="310"/>
      <c r="N57" s="400"/>
      <c r="O57" s="398" t="s">
        <v>278</v>
      </c>
      <c r="P57" s="399" t="s">
        <v>77</v>
      </c>
      <c r="Q57" s="317"/>
      <c r="R57" s="308"/>
      <c r="S57" s="308"/>
      <c r="T57" s="317"/>
      <c r="U57" s="324" t="str">
        <f>IF(ISERROR(VLOOKUP($T57, 'Reference data'!$J$2:$K$139, 2, FALSE)),"-",VLOOKUP($T57, 'Reference data'!$J$2:$K$139, 2, FALSE))</f>
        <v>-</v>
      </c>
      <c r="V57" s="308"/>
      <c r="W57" s="308"/>
      <c r="X57" s="312"/>
      <c r="Y57" s="313"/>
      <c r="Z57" s="69"/>
      <c r="AA57" s="341"/>
      <c r="AB57" s="82"/>
      <c r="AC57" s="71"/>
      <c r="AD57" s="319"/>
      <c r="AE57" s="226" t="s">
        <v>278</v>
      </c>
      <c r="AF57" s="230" t="s">
        <v>77</v>
      </c>
      <c r="AG57" s="322"/>
    </row>
    <row r="58" spans="2:33" s="287" customFormat="1" ht="13" x14ac:dyDescent="0.3">
      <c r="B58" s="326" t="str">
        <f>IF(C58="","Skip",IF(AND(Validator!G52=TRUE,Validator!G302=TRUE,Validator!G552=TRUE,Validator!G802=TRUE,Validator!G1052=TRUE,Validator!G1302=TRUE),"Valid","Invalid"))</f>
        <v>Skip</v>
      </c>
      <c r="C58" s="69"/>
      <c r="D58" s="389"/>
      <c r="E58" s="390"/>
      <c r="F58" s="519"/>
      <c r="G58" s="393"/>
      <c r="H58" s="519"/>
      <c r="I58" s="321"/>
      <c r="J58" s="395"/>
      <c r="K58" s="396"/>
      <c r="L58" s="397"/>
      <c r="M58" s="310"/>
      <c r="N58" s="400"/>
      <c r="O58" s="398" t="s">
        <v>278</v>
      </c>
      <c r="P58" s="399" t="s">
        <v>77</v>
      </c>
      <c r="Q58" s="317"/>
      <c r="R58" s="308"/>
      <c r="S58" s="308"/>
      <c r="T58" s="317"/>
      <c r="U58" s="324" t="str">
        <f>IF(ISERROR(VLOOKUP($T58, 'Reference data'!$J$2:$K$139, 2, FALSE)),"-",VLOOKUP($T58, 'Reference data'!$J$2:$K$139, 2, FALSE))</f>
        <v>-</v>
      </c>
      <c r="V58" s="308"/>
      <c r="W58" s="308"/>
      <c r="X58" s="312"/>
      <c r="Y58" s="313"/>
      <c r="Z58" s="69"/>
      <c r="AA58" s="341"/>
      <c r="AB58" s="82"/>
      <c r="AC58" s="71"/>
      <c r="AD58" s="319"/>
      <c r="AE58" s="226" t="s">
        <v>278</v>
      </c>
      <c r="AF58" s="230" t="s">
        <v>77</v>
      </c>
      <c r="AG58" s="322"/>
    </row>
    <row r="59" spans="2:33" s="287" customFormat="1" ht="13" x14ac:dyDescent="0.3">
      <c r="B59" s="326" t="str">
        <f>IF(C59="","Skip",IF(AND(Validator!G53=TRUE,Validator!G303=TRUE,Validator!G553=TRUE,Validator!G803=TRUE,Validator!G1053=TRUE,Validator!G1303=TRUE),"Valid","Invalid"))</f>
        <v>Skip</v>
      </c>
      <c r="C59" s="69"/>
      <c r="D59" s="389"/>
      <c r="E59" s="390"/>
      <c r="F59" s="519"/>
      <c r="G59" s="393"/>
      <c r="H59" s="519"/>
      <c r="I59" s="321"/>
      <c r="J59" s="395"/>
      <c r="K59" s="396"/>
      <c r="L59" s="397"/>
      <c r="M59" s="310"/>
      <c r="N59" s="400"/>
      <c r="O59" s="398" t="s">
        <v>278</v>
      </c>
      <c r="P59" s="399" t="s">
        <v>77</v>
      </c>
      <c r="Q59" s="317"/>
      <c r="R59" s="308"/>
      <c r="S59" s="308"/>
      <c r="T59" s="317"/>
      <c r="U59" s="324" t="str">
        <f>IF(ISERROR(VLOOKUP($T59, 'Reference data'!$J$2:$K$139, 2, FALSE)),"-",VLOOKUP($T59, 'Reference data'!$J$2:$K$139, 2, FALSE))</f>
        <v>-</v>
      </c>
      <c r="V59" s="308"/>
      <c r="W59" s="308"/>
      <c r="X59" s="312"/>
      <c r="Y59" s="313"/>
      <c r="Z59" s="69"/>
      <c r="AA59" s="341"/>
      <c r="AB59" s="82"/>
      <c r="AC59" s="71"/>
      <c r="AD59" s="319"/>
      <c r="AE59" s="226" t="s">
        <v>278</v>
      </c>
      <c r="AF59" s="230" t="s">
        <v>77</v>
      </c>
      <c r="AG59" s="322"/>
    </row>
    <row r="60" spans="2:33" s="287" customFormat="1" ht="13" x14ac:dyDescent="0.3">
      <c r="B60" s="326" t="str">
        <f>IF(C60="","Skip",IF(AND(Validator!G54=TRUE,Validator!G304=TRUE,Validator!G554=TRUE,Validator!G804=TRUE,Validator!G1054=TRUE,Validator!G1304=TRUE),"Valid","Invalid"))</f>
        <v>Skip</v>
      </c>
      <c r="C60" s="69"/>
      <c r="D60" s="389"/>
      <c r="E60" s="390"/>
      <c r="F60" s="519"/>
      <c r="G60" s="393"/>
      <c r="H60" s="519"/>
      <c r="I60" s="321"/>
      <c r="J60" s="395"/>
      <c r="K60" s="396"/>
      <c r="L60" s="397"/>
      <c r="M60" s="310"/>
      <c r="N60" s="400"/>
      <c r="O60" s="398" t="s">
        <v>278</v>
      </c>
      <c r="P60" s="399" t="s">
        <v>77</v>
      </c>
      <c r="Q60" s="317"/>
      <c r="R60" s="308"/>
      <c r="S60" s="308"/>
      <c r="T60" s="317"/>
      <c r="U60" s="324" t="str">
        <f>IF(ISERROR(VLOOKUP($T60, 'Reference data'!$J$2:$K$139, 2, FALSE)),"-",VLOOKUP($T60, 'Reference data'!$J$2:$K$139, 2, FALSE))</f>
        <v>-</v>
      </c>
      <c r="V60" s="308"/>
      <c r="W60" s="308"/>
      <c r="X60" s="312"/>
      <c r="Y60" s="313"/>
      <c r="Z60" s="69"/>
      <c r="AA60" s="341"/>
      <c r="AB60" s="82"/>
      <c r="AC60" s="71"/>
      <c r="AD60" s="319"/>
      <c r="AE60" s="226" t="s">
        <v>278</v>
      </c>
      <c r="AF60" s="230" t="s">
        <v>77</v>
      </c>
      <c r="AG60" s="322"/>
    </row>
    <row r="61" spans="2:33" s="287" customFormat="1" ht="13" x14ac:dyDescent="0.3">
      <c r="B61" s="326" t="str">
        <f>IF(C61="","Skip",IF(AND(Validator!G55=TRUE,Validator!G305=TRUE,Validator!G555=TRUE,Validator!G805=TRUE,Validator!G1055=TRUE,Validator!G1305=TRUE),"Valid","Invalid"))</f>
        <v>Skip</v>
      </c>
      <c r="C61" s="69"/>
      <c r="D61" s="389"/>
      <c r="E61" s="390"/>
      <c r="F61" s="519"/>
      <c r="G61" s="393"/>
      <c r="H61" s="519"/>
      <c r="I61" s="321"/>
      <c r="J61" s="395"/>
      <c r="K61" s="396"/>
      <c r="L61" s="397"/>
      <c r="M61" s="310"/>
      <c r="N61" s="400"/>
      <c r="O61" s="398" t="s">
        <v>278</v>
      </c>
      <c r="P61" s="399" t="s">
        <v>77</v>
      </c>
      <c r="Q61" s="317"/>
      <c r="R61" s="308"/>
      <c r="S61" s="308"/>
      <c r="T61" s="317"/>
      <c r="U61" s="324" t="str">
        <f>IF(ISERROR(VLOOKUP($T61, 'Reference data'!$J$2:$K$139, 2, FALSE)),"-",VLOOKUP($T61, 'Reference data'!$J$2:$K$139, 2, FALSE))</f>
        <v>-</v>
      </c>
      <c r="V61" s="308"/>
      <c r="W61" s="308"/>
      <c r="X61" s="312"/>
      <c r="Y61" s="313"/>
      <c r="Z61" s="69"/>
      <c r="AA61" s="341"/>
      <c r="AB61" s="82"/>
      <c r="AC61" s="71"/>
      <c r="AD61" s="319"/>
      <c r="AE61" s="226" t="s">
        <v>278</v>
      </c>
      <c r="AF61" s="230" t="s">
        <v>77</v>
      </c>
      <c r="AG61" s="322"/>
    </row>
    <row r="62" spans="2:33" s="287" customFormat="1" ht="13" x14ac:dyDescent="0.3">
      <c r="B62" s="326" t="str">
        <f>IF(C62="","Skip",IF(AND(Validator!G56=TRUE,Validator!G306=TRUE,Validator!G556=TRUE,Validator!G806=TRUE,Validator!G1056=TRUE,Validator!G1306=TRUE),"Valid","Invalid"))</f>
        <v>Skip</v>
      </c>
      <c r="C62" s="69"/>
      <c r="D62" s="389"/>
      <c r="E62" s="390"/>
      <c r="F62" s="519"/>
      <c r="G62" s="393"/>
      <c r="H62" s="519"/>
      <c r="I62" s="321"/>
      <c r="J62" s="395"/>
      <c r="K62" s="396"/>
      <c r="L62" s="397"/>
      <c r="M62" s="310"/>
      <c r="N62" s="400"/>
      <c r="O62" s="398" t="s">
        <v>278</v>
      </c>
      <c r="P62" s="399" t="s">
        <v>77</v>
      </c>
      <c r="Q62" s="317"/>
      <c r="R62" s="308"/>
      <c r="S62" s="308"/>
      <c r="T62" s="317"/>
      <c r="U62" s="324" t="str">
        <f>IF(ISERROR(VLOOKUP($T62, 'Reference data'!$J$2:$K$139, 2, FALSE)),"-",VLOOKUP($T62, 'Reference data'!$J$2:$K$139, 2, FALSE))</f>
        <v>-</v>
      </c>
      <c r="V62" s="308"/>
      <c r="W62" s="308"/>
      <c r="X62" s="312"/>
      <c r="Y62" s="313"/>
      <c r="Z62" s="69"/>
      <c r="AA62" s="341"/>
      <c r="AB62" s="82"/>
      <c r="AC62" s="71"/>
      <c r="AD62" s="319"/>
      <c r="AE62" s="226" t="s">
        <v>278</v>
      </c>
      <c r="AF62" s="230" t="s">
        <v>77</v>
      </c>
      <c r="AG62" s="322"/>
    </row>
    <row r="63" spans="2:33" s="287" customFormat="1" ht="13" x14ac:dyDescent="0.3">
      <c r="B63" s="326" t="str">
        <f>IF(C63="","Skip",IF(AND(Validator!G57=TRUE,Validator!G307=TRUE,Validator!G557=TRUE,Validator!G807=TRUE,Validator!G1057=TRUE,Validator!G1307=TRUE),"Valid","Invalid"))</f>
        <v>Skip</v>
      </c>
      <c r="C63" s="69"/>
      <c r="D63" s="389"/>
      <c r="E63" s="390"/>
      <c r="F63" s="519"/>
      <c r="G63" s="393"/>
      <c r="H63" s="519"/>
      <c r="I63" s="321"/>
      <c r="J63" s="395"/>
      <c r="K63" s="396"/>
      <c r="L63" s="397"/>
      <c r="M63" s="310"/>
      <c r="N63" s="400"/>
      <c r="O63" s="398" t="s">
        <v>278</v>
      </c>
      <c r="P63" s="399" t="s">
        <v>77</v>
      </c>
      <c r="Q63" s="317"/>
      <c r="R63" s="308"/>
      <c r="S63" s="308"/>
      <c r="T63" s="317"/>
      <c r="U63" s="324" t="str">
        <f>IF(ISERROR(VLOOKUP($T63, 'Reference data'!$J$2:$K$139, 2, FALSE)),"-",VLOOKUP($T63, 'Reference data'!$J$2:$K$139, 2, FALSE))</f>
        <v>-</v>
      </c>
      <c r="V63" s="308"/>
      <c r="W63" s="308"/>
      <c r="X63" s="312"/>
      <c r="Y63" s="313"/>
      <c r="Z63" s="69"/>
      <c r="AA63" s="341"/>
      <c r="AB63" s="82"/>
      <c r="AC63" s="71"/>
      <c r="AD63" s="319"/>
      <c r="AE63" s="226" t="s">
        <v>278</v>
      </c>
      <c r="AF63" s="230" t="s">
        <v>77</v>
      </c>
      <c r="AG63" s="322"/>
    </row>
    <row r="64" spans="2:33" s="287" customFormat="1" ht="13" x14ac:dyDescent="0.3">
      <c r="B64" s="326" t="str">
        <f>IF(C64="","Skip",IF(AND(Validator!G58=TRUE,Validator!G308=TRUE,Validator!G558=TRUE,Validator!G808=TRUE,Validator!G1058=TRUE,Validator!G1308=TRUE),"Valid","Invalid"))</f>
        <v>Skip</v>
      </c>
      <c r="C64" s="69"/>
      <c r="D64" s="389"/>
      <c r="E64" s="390"/>
      <c r="F64" s="519"/>
      <c r="G64" s="393"/>
      <c r="H64" s="519"/>
      <c r="I64" s="321"/>
      <c r="J64" s="395"/>
      <c r="K64" s="396"/>
      <c r="L64" s="397"/>
      <c r="M64" s="310"/>
      <c r="N64" s="400"/>
      <c r="O64" s="398" t="s">
        <v>278</v>
      </c>
      <c r="P64" s="399" t="s">
        <v>77</v>
      </c>
      <c r="Q64" s="317"/>
      <c r="R64" s="308"/>
      <c r="S64" s="308"/>
      <c r="T64" s="317"/>
      <c r="U64" s="324" t="str">
        <f>IF(ISERROR(VLOOKUP($T64, 'Reference data'!$J$2:$K$139, 2, FALSE)),"-",VLOOKUP($T64, 'Reference data'!$J$2:$K$139, 2, FALSE))</f>
        <v>-</v>
      </c>
      <c r="V64" s="308"/>
      <c r="W64" s="308"/>
      <c r="X64" s="312"/>
      <c r="Y64" s="313"/>
      <c r="Z64" s="69"/>
      <c r="AA64" s="341"/>
      <c r="AB64" s="82"/>
      <c r="AC64" s="71"/>
      <c r="AD64" s="319"/>
      <c r="AE64" s="226" t="s">
        <v>278</v>
      </c>
      <c r="AF64" s="230" t="s">
        <v>77</v>
      </c>
      <c r="AG64" s="322"/>
    </row>
    <row r="65" spans="2:33" s="287" customFormat="1" ht="13" x14ac:dyDescent="0.3">
      <c r="B65" s="326" t="str">
        <f>IF(C65="","Skip",IF(AND(Validator!G59=TRUE,Validator!G309=TRUE,Validator!G559=TRUE,Validator!G809=TRUE,Validator!G1059=TRUE,Validator!G1309=TRUE),"Valid","Invalid"))</f>
        <v>Skip</v>
      </c>
      <c r="C65" s="69"/>
      <c r="D65" s="389"/>
      <c r="E65" s="390"/>
      <c r="F65" s="519"/>
      <c r="G65" s="393"/>
      <c r="H65" s="519"/>
      <c r="I65" s="321"/>
      <c r="J65" s="395"/>
      <c r="K65" s="396"/>
      <c r="L65" s="397"/>
      <c r="M65" s="310"/>
      <c r="N65" s="400"/>
      <c r="O65" s="398" t="s">
        <v>278</v>
      </c>
      <c r="P65" s="399" t="s">
        <v>77</v>
      </c>
      <c r="Q65" s="317"/>
      <c r="R65" s="308"/>
      <c r="S65" s="308"/>
      <c r="T65" s="317"/>
      <c r="U65" s="324" t="str">
        <f>IF(ISERROR(VLOOKUP($T65, 'Reference data'!$J$2:$K$139, 2, FALSE)),"-",VLOOKUP($T65, 'Reference data'!$J$2:$K$139, 2, FALSE))</f>
        <v>-</v>
      </c>
      <c r="V65" s="308"/>
      <c r="W65" s="308"/>
      <c r="X65" s="312"/>
      <c r="Y65" s="313"/>
      <c r="Z65" s="69"/>
      <c r="AA65" s="341"/>
      <c r="AB65" s="82"/>
      <c r="AC65" s="71"/>
      <c r="AD65" s="319"/>
      <c r="AE65" s="226" t="s">
        <v>278</v>
      </c>
      <c r="AF65" s="230" t="s">
        <v>77</v>
      </c>
      <c r="AG65" s="322"/>
    </row>
    <row r="66" spans="2:33" s="287" customFormat="1" ht="13" x14ac:dyDescent="0.3">
      <c r="B66" s="326" t="str">
        <f>IF(C66="","Skip",IF(AND(Validator!G60=TRUE,Validator!G310=TRUE,Validator!G560=TRUE,Validator!G810=TRUE,Validator!G1060=TRUE,Validator!G1310=TRUE),"Valid","Invalid"))</f>
        <v>Skip</v>
      </c>
      <c r="C66" s="69"/>
      <c r="D66" s="389"/>
      <c r="E66" s="390"/>
      <c r="F66" s="519"/>
      <c r="G66" s="393"/>
      <c r="H66" s="519"/>
      <c r="I66" s="321"/>
      <c r="J66" s="395"/>
      <c r="K66" s="396"/>
      <c r="L66" s="397"/>
      <c r="M66" s="310"/>
      <c r="N66" s="400"/>
      <c r="O66" s="398" t="s">
        <v>278</v>
      </c>
      <c r="P66" s="399" t="s">
        <v>77</v>
      </c>
      <c r="Q66" s="317"/>
      <c r="R66" s="308"/>
      <c r="S66" s="308"/>
      <c r="T66" s="317"/>
      <c r="U66" s="324" t="str">
        <f>IF(ISERROR(VLOOKUP($T66, 'Reference data'!$J$2:$K$139, 2, FALSE)),"-",VLOOKUP($T66, 'Reference data'!$J$2:$K$139, 2, FALSE))</f>
        <v>-</v>
      </c>
      <c r="V66" s="308"/>
      <c r="W66" s="308"/>
      <c r="X66" s="312"/>
      <c r="Y66" s="313"/>
      <c r="Z66" s="69"/>
      <c r="AA66" s="341"/>
      <c r="AB66" s="82"/>
      <c r="AC66" s="71"/>
      <c r="AD66" s="319"/>
      <c r="AE66" s="226" t="s">
        <v>278</v>
      </c>
      <c r="AF66" s="230" t="s">
        <v>77</v>
      </c>
      <c r="AG66" s="322"/>
    </row>
    <row r="67" spans="2:33" s="287" customFormat="1" ht="13" x14ac:dyDescent="0.3">
      <c r="B67" s="326" t="str">
        <f>IF(C67="","Skip",IF(AND(Validator!G61=TRUE,Validator!G311=TRUE,Validator!G561=TRUE,Validator!G811=TRUE,Validator!G1061=TRUE,Validator!G1311=TRUE),"Valid","Invalid"))</f>
        <v>Skip</v>
      </c>
      <c r="C67" s="69"/>
      <c r="D67" s="389"/>
      <c r="E67" s="390"/>
      <c r="F67" s="519"/>
      <c r="G67" s="393"/>
      <c r="H67" s="519"/>
      <c r="I67" s="321"/>
      <c r="J67" s="395"/>
      <c r="K67" s="396"/>
      <c r="L67" s="397"/>
      <c r="M67" s="310"/>
      <c r="N67" s="400"/>
      <c r="O67" s="398" t="s">
        <v>278</v>
      </c>
      <c r="P67" s="399" t="s">
        <v>77</v>
      </c>
      <c r="Q67" s="317"/>
      <c r="R67" s="308"/>
      <c r="S67" s="308"/>
      <c r="T67" s="317"/>
      <c r="U67" s="324" t="str">
        <f>IF(ISERROR(VLOOKUP($T67, 'Reference data'!$J$2:$K$139, 2, FALSE)),"-",VLOOKUP($T67, 'Reference data'!$J$2:$K$139, 2, FALSE))</f>
        <v>-</v>
      </c>
      <c r="V67" s="308"/>
      <c r="W67" s="308"/>
      <c r="X67" s="312"/>
      <c r="Y67" s="313"/>
      <c r="Z67" s="69"/>
      <c r="AA67" s="341"/>
      <c r="AB67" s="82"/>
      <c r="AC67" s="71"/>
      <c r="AD67" s="319"/>
      <c r="AE67" s="226" t="s">
        <v>278</v>
      </c>
      <c r="AF67" s="230" t="s">
        <v>77</v>
      </c>
      <c r="AG67" s="322"/>
    </row>
    <row r="68" spans="2:33" s="287" customFormat="1" ht="13" x14ac:dyDescent="0.3">
      <c r="B68" s="326" t="str">
        <f>IF(C68="","Skip",IF(AND(Validator!G62=TRUE,Validator!G312=TRUE,Validator!G562=TRUE,Validator!G812=TRUE,Validator!G1062=TRUE,Validator!G1312=TRUE),"Valid","Invalid"))</f>
        <v>Skip</v>
      </c>
      <c r="C68" s="69"/>
      <c r="D68" s="389"/>
      <c r="E68" s="390"/>
      <c r="F68" s="519"/>
      <c r="G68" s="393"/>
      <c r="H68" s="519"/>
      <c r="I68" s="321"/>
      <c r="J68" s="395"/>
      <c r="K68" s="396"/>
      <c r="L68" s="397"/>
      <c r="M68" s="310"/>
      <c r="N68" s="400"/>
      <c r="O68" s="398" t="s">
        <v>278</v>
      </c>
      <c r="P68" s="399" t="s">
        <v>77</v>
      </c>
      <c r="Q68" s="317"/>
      <c r="R68" s="308"/>
      <c r="S68" s="308"/>
      <c r="T68" s="317"/>
      <c r="U68" s="324" t="str">
        <f>IF(ISERROR(VLOOKUP($T68, 'Reference data'!$J$2:$K$139, 2, FALSE)),"-",VLOOKUP($T68, 'Reference data'!$J$2:$K$139, 2, FALSE))</f>
        <v>-</v>
      </c>
      <c r="V68" s="308"/>
      <c r="W68" s="308"/>
      <c r="X68" s="312"/>
      <c r="Y68" s="313"/>
      <c r="Z68" s="69"/>
      <c r="AA68" s="341"/>
      <c r="AB68" s="82"/>
      <c r="AC68" s="71"/>
      <c r="AD68" s="319"/>
      <c r="AE68" s="226" t="s">
        <v>278</v>
      </c>
      <c r="AF68" s="230" t="s">
        <v>77</v>
      </c>
      <c r="AG68" s="322"/>
    </row>
    <row r="69" spans="2:33" s="287" customFormat="1" ht="13" x14ac:dyDescent="0.3">
      <c r="B69" s="326" t="str">
        <f>IF(C69="","Skip",IF(AND(Validator!G63=TRUE,Validator!G313=TRUE,Validator!G563=TRUE,Validator!G813=TRUE,Validator!G1063=TRUE,Validator!G1313=TRUE),"Valid","Invalid"))</f>
        <v>Skip</v>
      </c>
      <c r="C69" s="69"/>
      <c r="D69" s="389"/>
      <c r="E69" s="390"/>
      <c r="F69" s="519"/>
      <c r="G69" s="393"/>
      <c r="H69" s="519"/>
      <c r="I69" s="321"/>
      <c r="J69" s="395"/>
      <c r="K69" s="396"/>
      <c r="L69" s="397"/>
      <c r="M69" s="310"/>
      <c r="N69" s="400"/>
      <c r="O69" s="398" t="s">
        <v>278</v>
      </c>
      <c r="P69" s="399" t="s">
        <v>77</v>
      </c>
      <c r="Q69" s="317"/>
      <c r="R69" s="308"/>
      <c r="S69" s="308"/>
      <c r="T69" s="317"/>
      <c r="U69" s="324" t="str">
        <f>IF(ISERROR(VLOOKUP($T69, 'Reference data'!$J$2:$K$139, 2, FALSE)),"-",VLOOKUP($T69, 'Reference data'!$J$2:$K$139, 2, FALSE))</f>
        <v>-</v>
      </c>
      <c r="V69" s="308"/>
      <c r="W69" s="308"/>
      <c r="X69" s="312"/>
      <c r="Y69" s="313"/>
      <c r="Z69" s="69"/>
      <c r="AA69" s="341"/>
      <c r="AB69" s="82"/>
      <c r="AC69" s="71"/>
      <c r="AD69" s="319"/>
      <c r="AE69" s="226" t="s">
        <v>278</v>
      </c>
      <c r="AF69" s="230" t="s">
        <v>77</v>
      </c>
      <c r="AG69" s="322"/>
    </row>
    <row r="70" spans="2:33" s="287" customFormat="1" ht="13" x14ac:dyDescent="0.3">
      <c r="B70" s="326" t="str">
        <f>IF(C70="","Skip",IF(AND(Validator!G64=TRUE,Validator!G314=TRUE,Validator!G564=TRUE,Validator!G814=TRUE,Validator!G1064=TRUE,Validator!G1314=TRUE),"Valid","Invalid"))</f>
        <v>Skip</v>
      </c>
      <c r="C70" s="69"/>
      <c r="D70" s="389"/>
      <c r="E70" s="390"/>
      <c r="F70" s="519"/>
      <c r="G70" s="393"/>
      <c r="H70" s="519"/>
      <c r="I70" s="321"/>
      <c r="J70" s="395"/>
      <c r="K70" s="396"/>
      <c r="L70" s="397"/>
      <c r="M70" s="310"/>
      <c r="N70" s="400"/>
      <c r="O70" s="398" t="s">
        <v>278</v>
      </c>
      <c r="P70" s="399" t="s">
        <v>77</v>
      </c>
      <c r="Q70" s="317"/>
      <c r="R70" s="308"/>
      <c r="S70" s="308"/>
      <c r="T70" s="317"/>
      <c r="U70" s="324" t="str">
        <f>IF(ISERROR(VLOOKUP($T70, 'Reference data'!$J$2:$K$139, 2, FALSE)),"-",VLOOKUP($T70, 'Reference data'!$J$2:$K$139, 2, FALSE))</f>
        <v>-</v>
      </c>
      <c r="V70" s="308"/>
      <c r="W70" s="308"/>
      <c r="X70" s="312"/>
      <c r="Y70" s="313"/>
      <c r="Z70" s="69"/>
      <c r="AA70" s="341"/>
      <c r="AB70" s="82"/>
      <c r="AC70" s="71"/>
      <c r="AD70" s="319"/>
      <c r="AE70" s="226" t="s">
        <v>278</v>
      </c>
      <c r="AF70" s="230" t="s">
        <v>77</v>
      </c>
      <c r="AG70" s="322"/>
    </row>
    <row r="71" spans="2:33" s="287" customFormat="1" ht="13" x14ac:dyDescent="0.3">
      <c r="B71" s="326" t="str">
        <f>IF(C71="","Skip",IF(AND(Validator!G65=TRUE,Validator!G315=TRUE,Validator!G565=TRUE,Validator!G815=TRUE,Validator!G1065=TRUE,Validator!G1315=TRUE),"Valid","Invalid"))</f>
        <v>Skip</v>
      </c>
      <c r="C71" s="69"/>
      <c r="D71" s="389"/>
      <c r="E71" s="390"/>
      <c r="F71" s="519"/>
      <c r="G71" s="393"/>
      <c r="H71" s="519"/>
      <c r="I71" s="321"/>
      <c r="J71" s="395"/>
      <c r="K71" s="396"/>
      <c r="L71" s="397"/>
      <c r="M71" s="310"/>
      <c r="N71" s="400"/>
      <c r="O71" s="398" t="s">
        <v>278</v>
      </c>
      <c r="P71" s="399" t="s">
        <v>77</v>
      </c>
      <c r="Q71" s="317"/>
      <c r="R71" s="308"/>
      <c r="S71" s="308"/>
      <c r="T71" s="317"/>
      <c r="U71" s="324" t="str">
        <f>IF(ISERROR(VLOOKUP($T71, 'Reference data'!$J$2:$K$139, 2, FALSE)),"-",VLOOKUP($T71, 'Reference data'!$J$2:$K$139, 2, FALSE))</f>
        <v>-</v>
      </c>
      <c r="V71" s="308"/>
      <c r="W71" s="308"/>
      <c r="X71" s="312"/>
      <c r="Y71" s="313"/>
      <c r="Z71" s="69"/>
      <c r="AA71" s="341"/>
      <c r="AB71" s="82"/>
      <c r="AC71" s="71"/>
      <c r="AD71" s="319"/>
      <c r="AE71" s="226" t="s">
        <v>278</v>
      </c>
      <c r="AF71" s="230" t="s">
        <v>77</v>
      </c>
      <c r="AG71" s="322"/>
    </row>
    <row r="72" spans="2:33" s="287" customFormat="1" ht="13" x14ac:dyDescent="0.3">
      <c r="B72" s="326" t="str">
        <f>IF(C72="","Skip",IF(AND(Validator!G66=TRUE,Validator!G316=TRUE,Validator!G566=TRUE,Validator!G816=TRUE,Validator!G1066=TRUE,Validator!G1316=TRUE),"Valid","Invalid"))</f>
        <v>Skip</v>
      </c>
      <c r="C72" s="69"/>
      <c r="D72" s="389"/>
      <c r="E72" s="390"/>
      <c r="F72" s="519"/>
      <c r="G72" s="393"/>
      <c r="H72" s="519"/>
      <c r="I72" s="321"/>
      <c r="J72" s="395"/>
      <c r="K72" s="396"/>
      <c r="L72" s="397"/>
      <c r="M72" s="310"/>
      <c r="N72" s="400"/>
      <c r="O72" s="398" t="s">
        <v>278</v>
      </c>
      <c r="P72" s="399" t="s">
        <v>77</v>
      </c>
      <c r="Q72" s="317"/>
      <c r="R72" s="308"/>
      <c r="S72" s="308"/>
      <c r="T72" s="317"/>
      <c r="U72" s="324" t="str">
        <f>IF(ISERROR(VLOOKUP($T72, 'Reference data'!$J$2:$K$139, 2, FALSE)),"-",VLOOKUP($T72, 'Reference data'!$J$2:$K$139, 2, FALSE))</f>
        <v>-</v>
      </c>
      <c r="V72" s="308"/>
      <c r="W72" s="308"/>
      <c r="X72" s="312"/>
      <c r="Y72" s="313"/>
      <c r="Z72" s="69"/>
      <c r="AA72" s="341"/>
      <c r="AB72" s="82"/>
      <c r="AC72" s="71"/>
      <c r="AD72" s="319"/>
      <c r="AE72" s="226" t="s">
        <v>278</v>
      </c>
      <c r="AF72" s="230" t="s">
        <v>77</v>
      </c>
      <c r="AG72" s="322"/>
    </row>
    <row r="73" spans="2:33" s="287" customFormat="1" ht="13" x14ac:dyDescent="0.3">
      <c r="B73" s="326" t="str">
        <f>IF(C73="","Skip",IF(AND(Validator!G67=TRUE,Validator!G317=TRUE,Validator!G567=TRUE,Validator!G817=TRUE,Validator!G1067=TRUE,Validator!G1317=TRUE),"Valid","Invalid"))</f>
        <v>Skip</v>
      </c>
      <c r="C73" s="69"/>
      <c r="D73" s="389"/>
      <c r="E73" s="390"/>
      <c r="F73" s="519"/>
      <c r="G73" s="393"/>
      <c r="H73" s="519"/>
      <c r="I73" s="321"/>
      <c r="J73" s="395"/>
      <c r="K73" s="396"/>
      <c r="L73" s="397"/>
      <c r="M73" s="310"/>
      <c r="N73" s="400"/>
      <c r="O73" s="398" t="s">
        <v>278</v>
      </c>
      <c r="P73" s="399" t="s">
        <v>77</v>
      </c>
      <c r="Q73" s="317"/>
      <c r="R73" s="308"/>
      <c r="S73" s="308"/>
      <c r="T73" s="317"/>
      <c r="U73" s="324" t="str">
        <f>IF(ISERROR(VLOOKUP($T73, 'Reference data'!$J$2:$K$139, 2, FALSE)),"-",VLOOKUP($T73, 'Reference data'!$J$2:$K$139, 2, FALSE))</f>
        <v>-</v>
      </c>
      <c r="V73" s="308"/>
      <c r="W73" s="308"/>
      <c r="X73" s="312"/>
      <c r="Y73" s="313"/>
      <c r="Z73" s="69"/>
      <c r="AA73" s="341"/>
      <c r="AB73" s="82"/>
      <c r="AC73" s="71"/>
      <c r="AD73" s="319"/>
      <c r="AE73" s="226" t="s">
        <v>278</v>
      </c>
      <c r="AF73" s="230" t="s">
        <v>77</v>
      </c>
      <c r="AG73" s="322"/>
    </row>
    <row r="74" spans="2:33" s="287" customFormat="1" ht="13" x14ac:dyDescent="0.3">
      <c r="B74" s="326" t="str">
        <f>IF(C74="","Skip",IF(AND(Validator!G68=TRUE,Validator!G318=TRUE,Validator!G568=TRUE,Validator!G818=TRUE,Validator!G1068=TRUE,Validator!G1318=TRUE),"Valid","Invalid"))</f>
        <v>Skip</v>
      </c>
      <c r="C74" s="69"/>
      <c r="D74" s="389"/>
      <c r="E74" s="390"/>
      <c r="F74" s="519"/>
      <c r="G74" s="393"/>
      <c r="H74" s="519"/>
      <c r="I74" s="321"/>
      <c r="J74" s="395"/>
      <c r="K74" s="396"/>
      <c r="L74" s="397"/>
      <c r="M74" s="310"/>
      <c r="N74" s="400"/>
      <c r="O74" s="398" t="s">
        <v>278</v>
      </c>
      <c r="P74" s="399" t="s">
        <v>77</v>
      </c>
      <c r="Q74" s="317"/>
      <c r="R74" s="308"/>
      <c r="S74" s="308"/>
      <c r="T74" s="317"/>
      <c r="U74" s="324" t="str">
        <f>IF(ISERROR(VLOOKUP($T74, 'Reference data'!$J$2:$K$139, 2, FALSE)),"-",VLOOKUP($T74, 'Reference data'!$J$2:$K$139, 2, FALSE))</f>
        <v>-</v>
      </c>
      <c r="V74" s="308"/>
      <c r="W74" s="308"/>
      <c r="X74" s="312"/>
      <c r="Y74" s="313"/>
      <c r="Z74" s="69"/>
      <c r="AA74" s="341"/>
      <c r="AB74" s="82"/>
      <c r="AC74" s="71"/>
      <c r="AD74" s="319"/>
      <c r="AE74" s="226" t="s">
        <v>278</v>
      </c>
      <c r="AF74" s="230" t="s">
        <v>77</v>
      </c>
      <c r="AG74" s="322"/>
    </row>
    <row r="75" spans="2:33" s="287" customFormat="1" ht="13" x14ac:dyDescent="0.3">
      <c r="B75" s="326" t="str">
        <f>IF(C75="","Skip",IF(AND(Validator!G69=TRUE,Validator!G319=TRUE,Validator!G569=TRUE,Validator!G819=TRUE,Validator!G1069=TRUE,Validator!G1319=TRUE),"Valid","Invalid"))</f>
        <v>Skip</v>
      </c>
      <c r="C75" s="69"/>
      <c r="D75" s="389"/>
      <c r="E75" s="390"/>
      <c r="F75" s="519"/>
      <c r="G75" s="393"/>
      <c r="H75" s="519"/>
      <c r="I75" s="321"/>
      <c r="J75" s="395"/>
      <c r="K75" s="396"/>
      <c r="L75" s="397"/>
      <c r="M75" s="310"/>
      <c r="N75" s="400"/>
      <c r="O75" s="398" t="s">
        <v>278</v>
      </c>
      <c r="P75" s="399" t="s">
        <v>77</v>
      </c>
      <c r="Q75" s="317"/>
      <c r="R75" s="308"/>
      <c r="S75" s="308"/>
      <c r="T75" s="317"/>
      <c r="U75" s="324" t="str">
        <f>IF(ISERROR(VLOOKUP($T75, 'Reference data'!$J$2:$K$139, 2, FALSE)),"-",VLOOKUP($T75, 'Reference data'!$J$2:$K$139, 2, FALSE))</f>
        <v>-</v>
      </c>
      <c r="V75" s="308"/>
      <c r="W75" s="308"/>
      <c r="X75" s="312"/>
      <c r="Y75" s="313"/>
      <c r="Z75" s="69"/>
      <c r="AA75" s="341"/>
      <c r="AB75" s="82"/>
      <c r="AC75" s="71"/>
      <c r="AD75" s="319"/>
      <c r="AE75" s="226" t="s">
        <v>278</v>
      </c>
      <c r="AF75" s="230" t="s">
        <v>77</v>
      </c>
      <c r="AG75" s="322"/>
    </row>
    <row r="76" spans="2:33" s="287" customFormat="1" ht="13" x14ac:dyDescent="0.3">
      <c r="B76" s="326" t="str">
        <f>IF(C76="","Skip",IF(AND(Validator!G70=TRUE,Validator!G320=TRUE,Validator!G570=TRUE,Validator!G820=TRUE,Validator!G1070=TRUE,Validator!G1320=TRUE),"Valid","Invalid"))</f>
        <v>Skip</v>
      </c>
      <c r="C76" s="69"/>
      <c r="D76" s="389"/>
      <c r="E76" s="390"/>
      <c r="F76" s="519"/>
      <c r="G76" s="393"/>
      <c r="H76" s="519"/>
      <c r="I76" s="321"/>
      <c r="J76" s="395"/>
      <c r="K76" s="396"/>
      <c r="L76" s="397"/>
      <c r="M76" s="310"/>
      <c r="N76" s="400"/>
      <c r="O76" s="398" t="s">
        <v>278</v>
      </c>
      <c r="P76" s="399" t="s">
        <v>77</v>
      </c>
      <c r="Q76" s="317"/>
      <c r="R76" s="308"/>
      <c r="S76" s="308"/>
      <c r="T76" s="317"/>
      <c r="U76" s="324" t="str">
        <f>IF(ISERROR(VLOOKUP($T76, 'Reference data'!$J$2:$K$139, 2, FALSE)),"-",VLOOKUP($T76, 'Reference data'!$J$2:$K$139, 2, FALSE))</f>
        <v>-</v>
      </c>
      <c r="V76" s="308"/>
      <c r="W76" s="308"/>
      <c r="X76" s="312"/>
      <c r="Y76" s="313"/>
      <c r="Z76" s="69"/>
      <c r="AA76" s="341"/>
      <c r="AB76" s="82"/>
      <c r="AC76" s="71"/>
      <c r="AD76" s="319"/>
      <c r="AE76" s="226" t="s">
        <v>278</v>
      </c>
      <c r="AF76" s="230" t="s">
        <v>77</v>
      </c>
      <c r="AG76" s="322"/>
    </row>
    <row r="77" spans="2:33" s="287" customFormat="1" ht="13" x14ac:dyDescent="0.3">
      <c r="B77" s="326" t="str">
        <f>IF(C77="","Skip",IF(AND(Validator!G71=TRUE,Validator!G321=TRUE,Validator!G571=TRUE,Validator!G821=TRUE,Validator!G1071=TRUE,Validator!G1321=TRUE),"Valid","Invalid"))</f>
        <v>Skip</v>
      </c>
      <c r="C77" s="69"/>
      <c r="D77" s="389"/>
      <c r="E77" s="390"/>
      <c r="F77" s="519"/>
      <c r="G77" s="393"/>
      <c r="H77" s="519"/>
      <c r="I77" s="321"/>
      <c r="J77" s="395"/>
      <c r="K77" s="396"/>
      <c r="L77" s="397"/>
      <c r="M77" s="310"/>
      <c r="N77" s="400"/>
      <c r="O77" s="398" t="s">
        <v>278</v>
      </c>
      <c r="P77" s="399" t="s">
        <v>77</v>
      </c>
      <c r="Q77" s="317"/>
      <c r="R77" s="308"/>
      <c r="S77" s="308"/>
      <c r="T77" s="317"/>
      <c r="U77" s="324" t="str">
        <f>IF(ISERROR(VLOOKUP($T77, 'Reference data'!$J$2:$K$139, 2, FALSE)),"-",VLOOKUP($T77, 'Reference data'!$J$2:$K$139, 2, FALSE))</f>
        <v>-</v>
      </c>
      <c r="V77" s="308"/>
      <c r="W77" s="308"/>
      <c r="X77" s="312"/>
      <c r="Y77" s="313"/>
      <c r="Z77" s="69"/>
      <c r="AA77" s="341"/>
      <c r="AB77" s="82"/>
      <c r="AC77" s="71"/>
      <c r="AD77" s="319"/>
      <c r="AE77" s="226" t="s">
        <v>278</v>
      </c>
      <c r="AF77" s="230" t="s">
        <v>77</v>
      </c>
      <c r="AG77" s="322"/>
    </row>
    <row r="78" spans="2:33" s="287" customFormat="1" ht="13" x14ac:dyDescent="0.3">
      <c r="B78" s="326" t="str">
        <f>IF(C78="","Skip",IF(AND(Validator!G72=TRUE,Validator!G322=TRUE,Validator!G572=TRUE,Validator!G822=TRUE,Validator!G1072=TRUE,Validator!G1322=TRUE),"Valid","Invalid"))</f>
        <v>Skip</v>
      </c>
      <c r="C78" s="69"/>
      <c r="D78" s="389"/>
      <c r="E78" s="390"/>
      <c r="F78" s="519"/>
      <c r="G78" s="393"/>
      <c r="H78" s="519"/>
      <c r="I78" s="321"/>
      <c r="J78" s="395"/>
      <c r="K78" s="396"/>
      <c r="L78" s="397"/>
      <c r="M78" s="310"/>
      <c r="N78" s="400"/>
      <c r="O78" s="398" t="s">
        <v>278</v>
      </c>
      <c r="P78" s="399" t="s">
        <v>77</v>
      </c>
      <c r="Q78" s="317"/>
      <c r="R78" s="308"/>
      <c r="S78" s="308"/>
      <c r="T78" s="317"/>
      <c r="U78" s="324" t="str">
        <f>IF(ISERROR(VLOOKUP($T78, 'Reference data'!$J$2:$K$139, 2, FALSE)),"-",VLOOKUP($T78, 'Reference data'!$J$2:$K$139, 2, FALSE))</f>
        <v>-</v>
      </c>
      <c r="V78" s="308"/>
      <c r="W78" s="308"/>
      <c r="X78" s="312"/>
      <c r="Y78" s="313"/>
      <c r="Z78" s="69"/>
      <c r="AA78" s="341"/>
      <c r="AB78" s="82"/>
      <c r="AC78" s="71"/>
      <c r="AD78" s="319"/>
      <c r="AE78" s="226" t="s">
        <v>278</v>
      </c>
      <c r="AF78" s="230" t="s">
        <v>77</v>
      </c>
      <c r="AG78" s="322"/>
    </row>
    <row r="79" spans="2:33" s="287" customFormat="1" ht="13" x14ac:dyDescent="0.3">
      <c r="B79" s="326" t="str">
        <f>IF(C79="","Skip",IF(AND(Validator!G73=TRUE,Validator!G323=TRUE,Validator!G573=TRUE,Validator!G823=TRUE,Validator!G1073=TRUE,Validator!G1323=TRUE),"Valid","Invalid"))</f>
        <v>Skip</v>
      </c>
      <c r="C79" s="69"/>
      <c r="D79" s="389"/>
      <c r="E79" s="390"/>
      <c r="F79" s="519"/>
      <c r="G79" s="393"/>
      <c r="H79" s="519"/>
      <c r="I79" s="321"/>
      <c r="J79" s="395"/>
      <c r="K79" s="396"/>
      <c r="L79" s="397"/>
      <c r="M79" s="310"/>
      <c r="N79" s="400"/>
      <c r="O79" s="398" t="s">
        <v>278</v>
      </c>
      <c r="P79" s="399" t="s">
        <v>77</v>
      </c>
      <c r="Q79" s="317"/>
      <c r="R79" s="308"/>
      <c r="S79" s="308"/>
      <c r="T79" s="317"/>
      <c r="U79" s="324" t="str">
        <f>IF(ISERROR(VLOOKUP($T79, 'Reference data'!$J$2:$K$139, 2, FALSE)),"-",VLOOKUP($T79, 'Reference data'!$J$2:$K$139, 2, FALSE))</f>
        <v>-</v>
      </c>
      <c r="V79" s="308"/>
      <c r="W79" s="308"/>
      <c r="X79" s="312"/>
      <c r="Y79" s="313"/>
      <c r="Z79" s="69"/>
      <c r="AA79" s="341"/>
      <c r="AB79" s="82"/>
      <c r="AC79" s="71"/>
      <c r="AD79" s="319"/>
      <c r="AE79" s="226" t="s">
        <v>278</v>
      </c>
      <c r="AF79" s="230" t="s">
        <v>77</v>
      </c>
      <c r="AG79" s="322"/>
    </row>
    <row r="80" spans="2:33" s="287" customFormat="1" ht="13" x14ac:dyDescent="0.3">
      <c r="B80" s="326" t="str">
        <f>IF(C80="","Skip",IF(AND(Validator!G74=TRUE,Validator!G324=TRUE,Validator!G574=TRUE,Validator!G824=TRUE,Validator!G1074=TRUE,Validator!G1324=TRUE),"Valid","Invalid"))</f>
        <v>Skip</v>
      </c>
      <c r="C80" s="69"/>
      <c r="D80" s="389"/>
      <c r="E80" s="390"/>
      <c r="F80" s="519"/>
      <c r="G80" s="393"/>
      <c r="H80" s="519"/>
      <c r="I80" s="321"/>
      <c r="J80" s="395"/>
      <c r="K80" s="396"/>
      <c r="L80" s="397"/>
      <c r="M80" s="310"/>
      <c r="N80" s="400"/>
      <c r="O80" s="398" t="s">
        <v>278</v>
      </c>
      <c r="P80" s="399" t="s">
        <v>77</v>
      </c>
      <c r="Q80" s="317"/>
      <c r="R80" s="308"/>
      <c r="S80" s="308"/>
      <c r="T80" s="317"/>
      <c r="U80" s="324" t="str">
        <f>IF(ISERROR(VLOOKUP($T80, 'Reference data'!$J$2:$K$139, 2, FALSE)),"-",VLOOKUP($T80, 'Reference data'!$J$2:$K$139, 2, FALSE))</f>
        <v>-</v>
      </c>
      <c r="V80" s="308"/>
      <c r="W80" s="308"/>
      <c r="X80" s="312"/>
      <c r="Y80" s="313"/>
      <c r="Z80" s="69"/>
      <c r="AA80" s="341"/>
      <c r="AB80" s="82"/>
      <c r="AC80" s="71"/>
      <c r="AD80" s="319"/>
      <c r="AE80" s="226" t="s">
        <v>278</v>
      </c>
      <c r="AF80" s="230" t="s">
        <v>77</v>
      </c>
      <c r="AG80" s="322"/>
    </row>
    <row r="81" spans="2:33" s="287" customFormat="1" ht="13" x14ac:dyDescent="0.3">
      <c r="B81" s="326" t="str">
        <f>IF(C81="","Skip",IF(AND(Validator!G75=TRUE,Validator!G325=TRUE,Validator!G575=TRUE,Validator!G825=TRUE,Validator!G1075=TRUE,Validator!G1325=TRUE),"Valid","Invalid"))</f>
        <v>Skip</v>
      </c>
      <c r="C81" s="69"/>
      <c r="D81" s="389"/>
      <c r="E81" s="390"/>
      <c r="F81" s="519"/>
      <c r="G81" s="393"/>
      <c r="H81" s="519"/>
      <c r="I81" s="321"/>
      <c r="J81" s="395"/>
      <c r="K81" s="396"/>
      <c r="L81" s="397"/>
      <c r="M81" s="310"/>
      <c r="N81" s="400"/>
      <c r="O81" s="398" t="s">
        <v>278</v>
      </c>
      <c r="P81" s="399" t="s">
        <v>77</v>
      </c>
      <c r="Q81" s="317"/>
      <c r="R81" s="308"/>
      <c r="S81" s="308"/>
      <c r="T81" s="317"/>
      <c r="U81" s="324" t="str">
        <f>IF(ISERROR(VLOOKUP($T81, 'Reference data'!$J$2:$K$139, 2, FALSE)),"-",VLOOKUP($T81, 'Reference data'!$J$2:$K$139, 2, FALSE))</f>
        <v>-</v>
      </c>
      <c r="V81" s="308"/>
      <c r="W81" s="308"/>
      <c r="X81" s="312"/>
      <c r="Y81" s="313"/>
      <c r="Z81" s="69"/>
      <c r="AA81" s="341"/>
      <c r="AB81" s="82"/>
      <c r="AC81" s="71"/>
      <c r="AD81" s="319"/>
      <c r="AE81" s="226" t="s">
        <v>278</v>
      </c>
      <c r="AF81" s="230" t="s">
        <v>77</v>
      </c>
      <c r="AG81" s="322"/>
    </row>
    <row r="82" spans="2:33" s="287" customFormat="1" ht="13" x14ac:dyDescent="0.3">
      <c r="B82" s="326" t="str">
        <f>IF(C82="","Skip",IF(AND(Validator!G76=TRUE,Validator!G326=TRUE,Validator!G576=TRUE,Validator!G826=TRUE,Validator!G1076=TRUE,Validator!G1326=TRUE),"Valid","Invalid"))</f>
        <v>Skip</v>
      </c>
      <c r="C82" s="69"/>
      <c r="D82" s="389"/>
      <c r="E82" s="390"/>
      <c r="F82" s="519"/>
      <c r="G82" s="393"/>
      <c r="H82" s="519"/>
      <c r="I82" s="321"/>
      <c r="J82" s="395"/>
      <c r="K82" s="396"/>
      <c r="L82" s="397"/>
      <c r="M82" s="310"/>
      <c r="N82" s="400"/>
      <c r="O82" s="398" t="s">
        <v>278</v>
      </c>
      <c r="P82" s="399" t="s">
        <v>77</v>
      </c>
      <c r="Q82" s="317"/>
      <c r="R82" s="308"/>
      <c r="S82" s="308"/>
      <c r="T82" s="317"/>
      <c r="U82" s="324" t="str">
        <f>IF(ISERROR(VLOOKUP($T82, 'Reference data'!$J$2:$K$139, 2, FALSE)),"-",VLOOKUP($T82, 'Reference data'!$J$2:$K$139, 2, FALSE))</f>
        <v>-</v>
      </c>
      <c r="V82" s="308"/>
      <c r="W82" s="308"/>
      <c r="X82" s="312"/>
      <c r="Y82" s="313"/>
      <c r="Z82" s="69"/>
      <c r="AA82" s="341"/>
      <c r="AB82" s="82"/>
      <c r="AC82" s="71"/>
      <c r="AD82" s="319"/>
      <c r="AE82" s="226" t="s">
        <v>278</v>
      </c>
      <c r="AF82" s="230" t="s">
        <v>77</v>
      </c>
      <c r="AG82" s="322"/>
    </row>
    <row r="83" spans="2:33" s="287" customFormat="1" ht="13" x14ac:dyDescent="0.3">
      <c r="B83" s="326" t="str">
        <f>IF(C83="","Skip",IF(AND(Validator!G77=TRUE,Validator!G327=TRUE,Validator!G577=TRUE,Validator!G827=TRUE,Validator!G1077=TRUE,Validator!G1327=TRUE),"Valid","Invalid"))</f>
        <v>Skip</v>
      </c>
      <c r="C83" s="69"/>
      <c r="D83" s="389"/>
      <c r="E83" s="390"/>
      <c r="F83" s="519"/>
      <c r="G83" s="393"/>
      <c r="H83" s="519"/>
      <c r="I83" s="321"/>
      <c r="J83" s="395"/>
      <c r="K83" s="396"/>
      <c r="L83" s="397"/>
      <c r="M83" s="310"/>
      <c r="N83" s="400"/>
      <c r="O83" s="398" t="s">
        <v>278</v>
      </c>
      <c r="P83" s="399" t="s">
        <v>77</v>
      </c>
      <c r="Q83" s="317"/>
      <c r="R83" s="308"/>
      <c r="S83" s="308"/>
      <c r="T83" s="317"/>
      <c r="U83" s="324" t="str">
        <f>IF(ISERROR(VLOOKUP($T83, 'Reference data'!$J$2:$K$139, 2, FALSE)),"-",VLOOKUP($T83, 'Reference data'!$J$2:$K$139, 2, FALSE))</f>
        <v>-</v>
      </c>
      <c r="V83" s="308"/>
      <c r="W83" s="308"/>
      <c r="X83" s="312"/>
      <c r="Y83" s="313"/>
      <c r="Z83" s="69"/>
      <c r="AA83" s="341"/>
      <c r="AB83" s="82"/>
      <c r="AC83" s="71"/>
      <c r="AD83" s="319"/>
      <c r="AE83" s="226" t="s">
        <v>278</v>
      </c>
      <c r="AF83" s="230" t="s">
        <v>77</v>
      </c>
      <c r="AG83" s="322"/>
    </row>
    <row r="84" spans="2:33" s="287" customFormat="1" ht="13" x14ac:dyDescent="0.3">
      <c r="B84" s="326" t="str">
        <f>IF(C84="","Skip",IF(AND(Validator!G78=TRUE,Validator!G328=TRUE,Validator!G578=TRUE,Validator!G828=TRUE,Validator!G1078=TRUE,Validator!G1328=TRUE),"Valid","Invalid"))</f>
        <v>Skip</v>
      </c>
      <c r="C84" s="69"/>
      <c r="D84" s="389"/>
      <c r="E84" s="390"/>
      <c r="F84" s="519"/>
      <c r="G84" s="393"/>
      <c r="H84" s="519"/>
      <c r="I84" s="321"/>
      <c r="J84" s="395"/>
      <c r="K84" s="396"/>
      <c r="L84" s="397"/>
      <c r="M84" s="310"/>
      <c r="N84" s="400"/>
      <c r="O84" s="398" t="s">
        <v>278</v>
      </c>
      <c r="P84" s="399" t="s">
        <v>77</v>
      </c>
      <c r="Q84" s="317"/>
      <c r="R84" s="308"/>
      <c r="S84" s="308"/>
      <c r="T84" s="317"/>
      <c r="U84" s="324" t="str">
        <f>IF(ISERROR(VLOOKUP($T84, 'Reference data'!$J$2:$K$139, 2, FALSE)),"-",VLOOKUP($T84, 'Reference data'!$J$2:$K$139, 2, FALSE))</f>
        <v>-</v>
      </c>
      <c r="V84" s="308"/>
      <c r="W84" s="308"/>
      <c r="X84" s="312"/>
      <c r="Y84" s="313"/>
      <c r="Z84" s="69"/>
      <c r="AA84" s="341"/>
      <c r="AB84" s="82"/>
      <c r="AC84" s="71"/>
      <c r="AD84" s="319"/>
      <c r="AE84" s="226" t="s">
        <v>278</v>
      </c>
      <c r="AF84" s="230" t="s">
        <v>77</v>
      </c>
      <c r="AG84" s="322"/>
    </row>
    <row r="85" spans="2:33" s="287" customFormat="1" ht="13" x14ac:dyDescent="0.3">
      <c r="B85" s="326" t="str">
        <f>IF(C85="","Skip",IF(AND(Validator!G79=TRUE,Validator!G329=TRUE,Validator!G579=TRUE,Validator!G829=TRUE,Validator!G1079=TRUE,Validator!G1329=TRUE),"Valid","Invalid"))</f>
        <v>Skip</v>
      </c>
      <c r="C85" s="69"/>
      <c r="D85" s="389"/>
      <c r="E85" s="390"/>
      <c r="F85" s="519"/>
      <c r="G85" s="393"/>
      <c r="H85" s="519"/>
      <c r="I85" s="321"/>
      <c r="J85" s="395"/>
      <c r="K85" s="396"/>
      <c r="L85" s="397"/>
      <c r="M85" s="310"/>
      <c r="N85" s="400"/>
      <c r="O85" s="398" t="s">
        <v>278</v>
      </c>
      <c r="P85" s="399" t="s">
        <v>77</v>
      </c>
      <c r="Q85" s="317"/>
      <c r="R85" s="308"/>
      <c r="S85" s="308"/>
      <c r="T85" s="317"/>
      <c r="U85" s="324" t="str">
        <f>IF(ISERROR(VLOOKUP($T85, 'Reference data'!$J$2:$K$139, 2, FALSE)),"-",VLOOKUP($T85, 'Reference data'!$J$2:$K$139, 2, FALSE))</f>
        <v>-</v>
      </c>
      <c r="V85" s="308"/>
      <c r="W85" s="308"/>
      <c r="X85" s="312"/>
      <c r="Y85" s="313"/>
      <c r="Z85" s="69"/>
      <c r="AA85" s="341"/>
      <c r="AB85" s="82"/>
      <c r="AC85" s="71"/>
      <c r="AD85" s="319"/>
      <c r="AE85" s="226" t="s">
        <v>278</v>
      </c>
      <c r="AF85" s="230" t="s">
        <v>77</v>
      </c>
      <c r="AG85" s="322"/>
    </row>
    <row r="86" spans="2:33" s="287" customFormat="1" ht="13" x14ac:dyDescent="0.3">
      <c r="B86" s="326" t="str">
        <f>IF(C86="","Skip",IF(AND(Validator!G80=TRUE,Validator!G330=TRUE,Validator!G580=TRUE,Validator!G830=TRUE,Validator!G1080=TRUE,Validator!G1330=TRUE),"Valid","Invalid"))</f>
        <v>Skip</v>
      </c>
      <c r="C86" s="69"/>
      <c r="D86" s="389"/>
      <c r="E86" s="390"/>
      <c r="F86" s="519"/>
      <c r="G86" s="393"/>
      <c r="H86" s="519"/>
      <c r="I86" s="321"/>
      <c r="J86" s="395"/>
      <c r="K86" s="396"/>
      <c r="L86" s="397"/>
      <c r="M86" s="310"/>
      <c r="N86" s="400"/>
      <c r="O86" s="398" t="s">
        <v>278</v>
      </c>
      <c r="P86" s="399" t="s">
        <v>77</v>
      </c>
      <c r="Q86" s="317"/>
      <c r="R86" s="308"/>
      <c r="S86" s="308"/>
      <c r="T86" s="317"/>
      <c r="U86" s="324" t="str">
        <f>IF(ISERROR(VLOOKUP($T86, 'Reference data'!$J$2:$K$139, 2, FALSE)),"-",VLOOKUP($T86, 'Reference data'!$J$2:$K$139, 2, FALSE))</f>
        <v>-</v>
      </c>
      <c r="V86" s="308"/>
      <c r="W86" s="308"/>
      <c r="X86" s="312"/>
      <c r="Y86" s="313"/>
      <c r="Z86" s="69"/>
      <c r="AA86" s="341"/>
      <c r="AB86" s="82"/>
      <c r="AC86" s="71"/>
      <c r="AD86" s="319"/>
      <c r="AE86" s="226" t="s">
        <v>278</v>
      </c>
      <c r="AF86" s="230" t="s">
        <v>77</v>
      </c>
      <c r="AG86" s="322"/>
    </row>
    <row r="87" spans="2:33" s="287" customFormat="1" ht="13" x14ac:dyDescent="0.3">
      <c r="B87" s="326" t="str">
        <f>IF(C87="","Skip",IF(AND(Validator!G81=TRUE,Validator!G331=TRUE,Validator!G581=TRUE,Validator!G831=TRUE,Validator!G1081=TRUE,Validator!G1331=TRUE),"Valid","Invalid"))</f>
        <v>Skip</v>
      </c>
      <c r="C87" s="69"/>
      <c r="D87" s="389"/>
      <c r="E87" s="390"/>
      <c r="F87" s="519"/>
      <c r="G87" s="393"/>
      <c r="H87" s="519"/>
      <c r="I87" s="321"/>
      <c r="J87" s="395"/>
      <c r="K87" s="396"/>
      <c r="L87" s="397"/>
      <c r="M87" s="310"/>
      <c r="N87" s="400"/>
      <c r="O87" s="398" t="s">
        <v>278</v>
      </c>
      <c r="P87" s="399" t="s">
        <v>77</v>
      </c>
      <c r="Q87" s="317"/>
      <c r="R87" s="308"/>
      <c r="S87" s="308"/>
      <c r="T87" s="317"/>
      <c r="U87" s="324" t="str">
        <f>IF(ISERROR(VLOOKUP($T87, 'Reference data'!$J$2:$K$139, 2, FALSE)),"-",VLOOKUP($T87, 'Reference data'!$J$2:$K$139, 2, FALSE))</f>
        <v>-</v>
      </c>
      <c r="V87" s="308"/>
      <c r="W87" s="308"/>
      <c r="X87" s="312"/>
      <c r="Y87" s="313"/>
      <c r="Z87" s="69"/>
      <c r="AA87" s="341"/>
      <c r="AB87" s="82"/>
      <c r="AC87" s="71"/>
      <c r="AD87" s="319"/>
      <c r="AE87" s="226" t="s">
        <v>278</v>
      </c>
      <c r="AF87" s="230" t="s">
        <v>77</v>
      </c>
      <c r="AG87" s="322"/>
    </row>
    <row r="88" spans="2:33" s="287" customFormat="1" ht="13" x14ac:dyDescent="0.3">
      <c r="B88" s="326" t="str">
        <f>IF(C88="","Skip",IF(AND(Validator!G82=TRUE,Validator!G332=TRUE,Validator!G582=TRUE,Validator!G832=TRUE,Validator!G1082=TRUE,Validator!G1332=TRUE),"Valid","Invalid"))</f>
        <v>Skip</v>
      </c>
      <c r="C88" s="69"/>
      <c r="D88" s="389"/>
      <c r="E88" s="390"/>
      <c r="F88" s="519"/>
      <c r="G88" s="393"/>
      <c r="H88" s="519"/>
      <c r="I88" s="321"/>
      <c r="J88" s="395"/>
      <c r="K88" s="396"/>
      <c r="L88" s="397"/>
      <c r="M88" s="310"/>
      <c r="N88" s="400"/>
      <c r="O88" s="398" t="s">
        <v>278</v>
      </c>
      <c r="P88" s="399" t="s">
        <v>77</v>
      </c>
      <c r="Q88" s="317"/>
      <c r="R88" s="308"/>
      <c r="S88" s="308"/>
      <c r="T88" s="317"/>
      <c r="U88" s="324" t="str">
        <f>IF(ISERROR(VLOOKUP($T88, 'Reference data'!$J$2:$K$139, 2, FALSE)),"-",VLOOKUP($T88, 'Reference data'!$J$2:$K$139, 2, FALSE))</f>
        <v>-</v>
      </c>
      <c r="V88" s="308"/>
      <c r="W88" s="308"/>
      <c r="X88" s="312"/>
      <c r="Y88" s="313"/>
      <c r="Z88" s="69"/>
      <c r="AA88" s="341"/>
      <c r="AB88" s="82"/>
      <c r="AC88" s="71"/>
      <c r="AD88" s="319"/>
      <c r="AE88" s="226" t="s">
        <v>278</v>
      </c>
      <c r="AF88" s="230" t="s">
        <v>77</v>
      </c>
      <c r="AG88" s="322"/>
    </row>
    <row r="89" spans="2:33" s="287" customFormat="1" ht="13" x14ac:dyDescent="0.3">
      <c r="B89" s="326" t="str">
        <f>IF(C89="","Skip",IF(AND(Validator!G83=TRUE,Validator!G333=TRUE,Validator!G583=TRUE,Validator!G833=TRUE,Validator!G1083=TRUE,Validator!G1333=TRUE),"Valid","Invalid"))</f>
        <v>Skip</v>
      </c>
      <c r="C89" s="69"/>
      <c r="D89" s="389"/>
      <c r="E89" s="390"/>
      <c r="F89" s="519"/>
      <c r="G89" s="393"/>
      <c r="H89" s="519"/>
      <c r="I89" s="321"/>
      <c r="J89" s="395"/>
      <c r="K89" s="396"/>
      <c r="L89" s="397"/>
      <c r="M89" s="310"/>
      <c r="N89" s="400"/>
      <c r="O89" s="398" t="s">
        <v>278</v>
      </c>
      <c r="P89" s="399" t="s">
        <v>77</v>
      </c>
      <c r="Q89" s="317"/>
      <c r="R89" s="308"/>
      <c r="S89" s="308"/>
      <c r="T89" s="317"/>
      <c r="U89" s="324" t="str">
        <f>IF(ISERROR(VLOOKUP($T89, 'Reference data'!$J$2:$K$139, 2, FALSE)),"-",VLOOKUP($T89, 'Reference data'!$J$2:$K$139, 2, FALSE))</f>
        <v>-</v>
      </c>
      <c r="V89" s="308"/>
      <c r="W89" s="308"/>
      <c r="X89" s="312"/>
      <c r="Y89" s="313"/>
      <c r="Z89" s="69"/>
      <c r="AA89" s="341"/>
      <c r="AB89" s="82"/>
      <c r="AC89" s="71"/>
      <c r="AD89" s="319"/>
      <c r="AE89" s="226" t="s">
        <v>278</v>
      </c>
      <c r="AF89" s="230" t="s">
        <v>77</v>
      </c>
      <c r="AG89" s="322"/>
    </row>
    <row r="90" spans="2:33" s="287" customFormat="1" ht="13" x14ac:dyDescent="0.3">
      <c r="B90" s="326" t="str">
        <f>IF(C90="","Skip",IF(AND(Validator!G84=TRUE,Validator!G334=TRUE,Validator!G584=TRUE,Validator!G834=TRUE,Validator!G1084=TRUE,Validator!G1334=TRUE),"Valid","Invalid"))</f>
        <v>Skip</v>
      </c>
      <c r="C90" s="69"/>
      <c r="D90" s="389"/>
      <c r="E90" s="390"/>
      <c r="F90" s="519"/>
      <c r="G90" s="393"/>
      <c r="H90" s="519"/>
      <c r="I90" s="321"/>
      <c r="J90" s="395"/>
      <c r="K90" s="396"/>
      <c r="L90" s="397"/>
      <c r="M90" s="310"/>
      <c r="N90" s="400"/>
      <c r="O90" s="398" t="s">
        <v>278</v>
      </c>
      <c r="P90" s="399" t="s">
        <v>77</v>
      </c>
      <c r="Q90" s="317"/>
      <c r="R90" s="308"/>
      <c r="S90" s="308"/>
      <c r="T90" s="317"/>
      <c r="U90" s="324" t="str">
        <f>IF(ISERROR(VLOOKUP($T90, 'Reference data'!$J$2:$K$139, 2, FALSE)),"-",VLOOKUP($T90, 'Reference data'!$J$2:$K$139, 2, FALSE))</f>
        <v>-</v>
      </c>
      <c r="V90" s="308"/>
      <c r="W90" s="308"/>
      <c r="X90" s="312"/>
      <c r="Y90" s="313"/>
      <c r="Z90" s="69"/>
      <c r="AA90" s="341"/>
      <c r="AB90" s="82"/>
      <c r="AC90" s="71"/>
      <c r="AD90" s="319"/>
      <c r="AE90" s="226" t="s">
        <v>278</v>
      </c>
      <c r="AF90" s="230" t="s">
        <v>77</v>
      </c>
      <c r="AG90" s="322"/>
    </row>
    <row r="91" spans="2:33" s="287" customFormat="1" ht="13" x14ac:dyDescent="0.3">
      <c r="B91" s="326" t="str">
        <f>IF(C91="","Skip",IF(AND(Validator!G85=TRUE,Validator!G335=TRUE,Validator!G585=TRUE,Validator!G835=TRUE,Validator!G1085=TRUE,Validator!G1335=TRUE),"Valid","Invalid"))</f>
        <v>Skip</v>
      </c>
      <c r="C91" s="69"/>
      <c r="D91" s="389"/>
      <c r="E91" s="390"/>
      <c r="F91" s="519"/>
      <c r="G91" s="393"/>
      <c r="H91" s="519"/>
      <c r="I91" s="321"/>
      <c r="J91" s="395"/>
      <c r="K91" s="396"/>
      <c r="L91" s="397"/>
      <c r="M91" s="310"/>
      <c r="N91" s="400"/>
      <c r="O91" s="398" t="s">
        <v>278</v>
      </c>
      <c r="P91" s="399" t="s">
        <v>77</v>
      </c>
      <c r="Q91" s="317"/>
      <c r="R91" s="308"/>
      <c r="S91" s="308"/>
      <c r="T91" s="317"/>
      <c r="U91" s="324" t="str">
        <f>IF(ISERROR(VLOOKUP($T91, 'Reference data'!$J$2:$K$139, 2, FALSE)),"-",VLOOKUP($T91, 'Reference data'!$J$2:$K$139, 2, FALSE))</f>
        <v>-</v>
      </c>
      <c r="V91" s="308"/>
      <c r="W91" s="308"/>
      <c r="X91" s="312"/>
      <c r="Y91" s="313"/>
      <c r="Z91" s="69"/>
      <c r="AA91" s="341"/>
      <c r="AB91" s="82"/>
      <c r="AC91" s="71"/>
      <c r="AD91" s="319"/>
      <c r="AE91" s="226" t="s">
        <v>278</v>
      </c>
      <c r="AF91" s="230" t="s">
        <v>77</v>
      </c>
      <c r="AG91" s="322"/>
    </row>
    <row r="92" spans="2:33" s="287" customFormat="1" ht="13" x14ac:dyDescent="0.3">
      <c r="B92" s="326" t="str">
        <f>IF(C92="","Skip",IF(AND(Validator!G86=TRUE,Validator!G336=TRUE,Validator!G586=TRUE,Validator!G836=TRUE,Validator!G1086=TRUE,Validator!G1336=TRUE),"Valid","Invalid"))</f>
        <v>Skip</v>
      </c>
      <c r="C92" s="69"/>
      <c r="D92" s="389"/>
      <c r="E92" s="390"/>
      <c r="F92" s="519"/>
      <c r="G92" s="393"/>
      <c r="H92" s="519"/>
      <c r="I92" s="321"/>
      <c r="J92" s="395"/>
      <c r="K92" s="396"/>
      <c r="L92" s="397"/>
      <c r="M92" s="310"/>
      <c r="N92" s="400"/>
      <c r="O92" s="398" t="s">
        <v>278</v>
      </c>
      <c r="P92" s="399" t="s">
        <v>77</v>
      </c>
      <c r="Q92" s="317"/>
      <c r="R92" s="308"/>
      <c r="S92" s="308"/>
      <c r="T92" s="317"/>
      <c r="U92" s="324" t="str">
        <f>IF(ISERROR(VLOOKUP($T92, 'Reference data'!$J$2:$K$139, 2, FALSE)),"-",VLOOKUP($T92, 'Reference data'!$J$2:$K$139, 2, FALSE))</f>
        <v>-</v>
      </c>
      <c r="V92" s="308"/>
      <c r="W92" s="308"/>
      <c r="X92" s="312"/>
      <c r="Y92" s="313"/>
      <c r="Z92" s="69"/>
      <c r="AA92" s="341"/>
      <c r="AB92" s="82"/>
      <c r="AC92" s="71"/>
      <c r="AD92" s="319"/>
      <c r="AE92" s="226" t="s">
        <v>278</v>
      </c>
      <c r="AF92" s="230" t="s">
        <v>77</v>
      </c>
      <c r="AG92" s="322"/>
    </row>
    <row r="93" spans="2:33" s="287" customFormat="1" ht="13" x14ac:dyDescent="0.3">
      <c r="B93" s="326" t="str">
        <f>IF(C93="","Skip",IF(AND(Validator!G87=TRUE,Validator!G337=TRUE,Validator!G587=TRUE,Validator!G837=TRUE,Validator!G1087=TRUE,Validator!G1337=TRUE),"Valid","Invalid"))</f>
        <v>Skip</v>
      </c>
      <c r="C93" s="69"/>
      <c r="D93" s="389"/>
      <c r="E93" s="390"/>
      <c r="F93" s="519"/>
      <c r="G93" s="393"/>
      <c r="H93" s="519"/>
      <c r="I93" s="321"/>
      <c r="J93" s="395"/>
      <c r="K93" s="396"/>
      <c r="L93" s="397"/>
      <c r="M93" s="310"/>
      <c r="N93" s="400"/>
      <c r="O93" s="398" t="s">
        <v>278</v>
      </c>
      <c r="P93" s="399" t="s">
        <v>77</v>
      </c>
      <c r="Q93" s="317"/>
      <c r="R93" s="308"/>
      <c r="S93" s="308"/>
      <c r="T93" s="317"/>
      <c r="U93" s="324" t="str">
        <f>IF(ISERROR(VLOOKUP($T93, 'Reference data'!$J$2:$K$139, 2, FALSE)),"-",VLOOKUP($T93, 'Reference data'!$J$2:$K$139, 2, FALSE))</f>
        <v>-</v>
      </c>
      <c r="V93" s="308"/>
      <c r="W93" s="308"/>
      <c r="X93" s="312"/>
      <c r="Y93" s="313"/>
      <c r="Z93" s="69"/>
      <c r="AA93" s="341"/>
      <c r="AB93" s="82"/>
      <c r="AC93" s="71"/>
      <c r="AD93" s="319"/>
      <c r="AE93" s="226" t="s">
        <v>278</v>
      </c>
      <c r="AF93" s="230" t="s">
        <v>77</v>
      </c>
      <c r="AG93" s="322"/>
    </row>
    <row r="94" spans="2:33" s="287" customFormat="1" ht="13" x14ac:dyDescent="0.3">
      <c r="B94" s="326" t="str">
        <f>IF(C94="","Skip",IF(AND(Validator!G88=TRUE,Validator!G338=TRUE,Validator!G588=TRUE,Validator!G838=TRUE,Validator!G1088=TRUE,Validator!G1338=TRUE),"Valid","Invalid"))</f>
        <v>Skip</v>
      </c>
      <c r="C94" s="69"/>
      <c r="D94" s="389"/>
      <c r="E94" s="390"/>
      <c r="F94" s="519"/>
      <c r="G94" s="393"/>
      <c r="H94" s="519"/>
      <c r="I94" s="321"/>
      <c r="J94" s="395"/>
      <c r="K94" s="396"/>
      <c r="L94" s="397"/>
      <c r="M94" s="310"/>
      <c r="N94" s="400"/>
      <c r="O94" s="398" t="s">
        <v>278</v>
      </c>
      <c r="P94" s="399" t="s">
        <v>77</v>
      </c>
      <c r="Q94" s="317"/>
      <c r="R94" s="308"/>
      <c r="S94" s="308"/>
      <c r="T94" s="317"/>
      <c r="U94" s="324" t="str">
        <f>IF(ISERROR(VLOOKUP($T94, 'Reference data'!$J$2:$K$139, 2, FALSE)),"-",VLOOKUP($T94, 'Reference data'!$J$2:$K$139, 2, FALSE))</f>
        <v>-</v>
      </c>
      <c r="V94" s="308"/>
      <c r="W94" s="308"/>
      <c r="X94" s="312"/>
      <c r="Y94" s="313"/>
      <c r="Z94" s="69"/>
      <c r="AA94" s="341"/>
      <c r="AB94" s="82"/>
      <c r="AC94" s="71"/>
      <c r="AD94" s="319"/>
      <c r="AE94" s="226" t="s">
        <v>278</v>
      </c>
      <c r="AF94" s="230" t="s">
        <v>77</v>
      </c>
      <c r="AG94" s="322"/>
    </row>
    <row r="95" spans="2:33" s="287" customFormat="1" ht="13" x14ac:dyDescent="0.3">
      <c r="B95" s="326" t="str">
        <f>IF(C95="","Skip",IF(AND(Validator!G89=TRUE,Validator!G339=TRUE,Validator!G589=TRUE,Validator!G839=TRUE,Validator!G1089=TRUE,Validator!G1339=TRUE),"Valid","Invalid"))</f>
        <v>Skip</v>
      </c>
      <c r="C95" s="69"/>
      <c r="D95" s="389"/>
      <c r="E95" s="390"/>
      <c r="F95" s="519"/>
      <c r="G95" s="393"/>
      <c r="H95" s="519"/>
      <c r="I95" s="321"/>
      <c r="J95" s="395"/>
      <c r="K95" s="396"/>
      <c r="L95" s="397"/>
      <c r="M95" s="310"/>
      <c r="N95" s="400"/>
      <c r="O95" s="398" t="s">
        <v>278</v>
      </c>
      <c r="P95" s="399" t="s">
        <v>77</v>
      </c>
      <c r="Q95" s="317"/>
      <c r="R95" s="308"/>
      <c r="S95" s="308"/>
      <c r="T95" s="317"/>
      <c r="U95" s="324" t="str">
        <f>IF(ISERROR(VLOOKUP($T95, 'Reference data'!$J$2:$K$139, 2, FALSE)),"-",VLOOKUP($T95, 'Reference data'!$J$2:$K$139, 2, FALSE))</f>
        <v>-</v>
      </c>
      <c r="V95" s="308"/>
      <c r="W95" s="308"/>
      <c r="X95" s="312"/>
      <c r="Y95" s="313"/>
      <c r="Z95" s="69"/>
      <c r="AA95" s="341"/>
      <c r="AB95" s="82"/>
      <c r="AC95" s="71"/>
      <c r="AD95" s="319"/>
      <c r="AE95" s="226" t="s">
        <v>278</v>
      </c>
      <c r="AF95" s="230" t="s">
        <v>77</v>
      </c>
      <c r="AG95" s="322"/>
    </row>
    <row r="96" spans="2:33" s="287" customFormat="1" ht="13" x14ac:dyDescent="0.3">
      <c r="B96" s="326" t="str">
        <f>IF(C96="","Skip",IF(AND(Validator!G90=TRUE,Validator!G340=TRUE,Validator!G590=TRUE,Validator!G840=TRUE,Validator!G1090=TRUE,Validator!G1340=TRUE),"Valid","Invalid"))</f>
        <v>Skip</v>
      </c>
      <c r="C96" s="69"/>
      <c r="D96" s="389"/>
      <c r="E96" s="390"/>
      <c r="F96" s="519"/>
      <c r="G96" s="393"/>
      <c r="H96" s="519"/>
      <c r="I96" s="321"/>
      <c r="J96" s="395"/>
      <c r="K96" s="396"/>
      <c r="L96" s="397"/>
      <c r="M96" s="310"/>
      <c r="N96" s="400"/>
      <c r="O96" s="398" t="s">
        <v>278</v>
      </c>
      <c r="P96" s="399" t="s">
        <v>77</v>
      </c>
      <c r="Q96" s="317"/>
      <c r="R96" s="308"/>
      <c r="S96" s="308"/>
      <c r="T96" s="317"/>
      <c r="U96" s="324" t="str">
        <f>IF(ISERROR(VLOOKUP($T96, 'Reference data'!$J$2:$K$139, 2, FALSE)),"-",VLOOKUP($T96, 'Reference data'!$J$2:$K$139, 2, FALSE))</f>
        <v>-</v>
      </c>
      <c r="V96" s="308"/>
      <c r="W96" s="308"/>
      <c r="X96" s="312"/>
      <c r="Y96" s="313"/>
      <c r="Z96" s="69"/>
      <c r="AA96" s="341"/>
      <c r="AB96" s="82"/>
      <c r="AC96" s="71"/>
      <c r="AD96" s="319"/>
      <c r="AE96" s="226" t="s">
        <v>278</v>
      </c>
      <c r="AF96" s="230" t="s">
        <v>77</v>
      </c>
      <c r="AG96" s="322"/>
    </row>
    <row r="97" spans="2:33" s="287" customFormat="1" ht="13" x14ac:dyDescent="0.3">
      <c r="B97" s="326" t="str">
        <f>IF(C97="","Skip",IF(AND(Validator!G91=TRUE,Validator!G341=TRUE,Validator!G591=TRUE,Validator!G841=TRUE,Validator!G1091=TRUE,Validator!G1341=TRUE),"Valid","Invalid"))</f>
        <v>Skip</v>
      </c>
      <c r="C97" s="69"/>
      <c r="D97" s="389"/>
      <c r="E97" s="390"/>
      <c r="F97" s="519"/>
      <c r="G97" s="393"/>
      <c r="H97" s="519"/>
      <c r="I97" s="321"/>
      <c r="J97" s="395"/>
      <c r="K97" s="396"/>
      <c r="L97" s="397"/>
      <c r="M97" s="310"/>
      <c r="N97" s="400"/>
      <c r="O97" s="398" t="s">
        <v>278</v>
      </c>
      <c r="P97" s="399" t="s">
        <v>77</v>
      </c>
      <c r="Q97" s="317"/>
      <c r="R97" s="308"/>
      <c r="S97" s="308"/>
      <c r="T97" s="317"/>
      <c r="U97" s="324" t="str">
        <f>IF(ISERROR(VLOOKUP($T97, 'Reference data'!$J$2:$K$139, 2, FALSE)),"-",VLOOKUP($T97, 'Reference data'!$J$2:$K$139, 2, FALSE))</f>
        <v>-</v>
      </c>
      <c r="V97" s="308"/>
      <c r="W97" s="308"/>
      <c r="X97" s="312"/>
      <c r="Y97" s="313"/>
      <c r="Z97" s="69"/>
      <c r="AA97" s="341"/>
      <c r="AB97" s="82"/>
      <c r="AC97" s="71"/>
      <c r="AD97" s="319"/>
      <c r="AE97" s="226" t="s">
        <v>278</v>
      </c>
      <c r="AF97" s="230" t="s">
        <v>77</v>
      </c>
      <c r="AG97" s="322"/>
    </row>
    <row r="98" spans="2:33" s="287" customFormat="1" ht="13" x14ac:dyDescent="0.3">
      <c r="B98" s="326" t="str">
        <f>IF(C98="","Skip",IF(AND(Validator!G92=TRUE,Validator!G342=TRUE,Validator!G592=TRUE,Validator!G842=TRUE,Validator!G1092=TRUE,Validator!G1342=TRUE),"Valid","Invalid"))</f>
        <v>Skip</v>
      </c>
      <c r="C98" s="69"/>
      <c r="D98" s="389"/>
      <c r="E98" s="390"/>
      <c r="F98" s="519"/>
      <c r="G98" s="393"/>
      <c r="H98" s="519"/>
      <c r="I98" s="321"/>
      <c r="J98" s="395"/>
      <c r="K98" s="396"/>
      <c r="L98" s="397"/>
      <c r="M98" s="310"/>
      <c r="N98" s="400"/>
      <c r="O98" s="398" t="s">
        <v>278</v>
      </c>
      <c r="P98" s="399" t="s">
        <v>77</v>
      </c>
      <c r="Q98" s="317"/>
      <c r="R98" s="308"/>
      <c r="S98" s="308"/>
      <c r="T98" s="317"/>
      <c r="U98" s="324" t="str">
        <f>IF(ISERROR(VLOOKUP($T98, 'Reference data'!$J$2:$K$139, 2, FALSE)),"-",VLOOKUP($T98, 'Reference data'!$J$2:$K$139, 2, FALSE))</f>
        <v>-</v>
      </c>
      <c r="V98" s="308"/>
      <c r="W98" s="308"/>
      <c r="X98" s="312"/>
      <c r="Y98" s="313"/>
      <c r="Z98" s="69"/>
      <c r="AA98" s="341"/>
      <c r="AB98" s="82"/>
      <c r="AC98" s="71"/>
      <c r="AD98" s="319"/>
      <c r="AE98" s="226" t="s">
        <v>278</v>
      </c>
      <c r="AF98" s="230" t="s">
        <v>77</v>
      </c>
      <c r="AG98" s="322"/>
    </row>
    <row r="99" spans="2:33" s="287" customFormat="1" ht="13" x14ac:dyDescent="0.3">
      <c r="B99" s="326" t="str">
        <f>IF(C99="","Skip",IF(AND(Validator!G93=TRUE,Validator!G343=TRUE,Validator!G593=TRUE,Validator!G843=TRUE,Validator!G1093=TRUE,Validator!G1343=TRUE),"Valid","Invalid"))</f>
        <v>Skip</v>
      </c>
      <c r="C99" s="69"/>
      <c r="D99" s="389"/>
      <c r="E99" s="390"/>
      <c r="F99" s="519"/>
      <c r="G99" s="393"/>
      <c r="H99" s="519"/>
      <c r="I99" s="321"/>
      <c r="J99" s="395"/>
      <c r="K99" s="396"/>
      <c r="L99" s="397"/>
      <c r="M99" s="310"/>
      <c r="N99" s="400"/>
      <c r="O99" s="398" t="s">
        <v>278</v>
      </c>
      <c r="P99" s="399" t="s">
        <v>77</v>
      </c>
      <c r="Q99" s="317"/>
      <c r="R99" s="308"/>
      <c r="S99" s="308"/>
      <c r="T99" s="317"/>
      <c r="U99" s="324" t="str">
        <f>IF(ISERROR(VLOOKUP($T99, 'Reference data'!$J$2:$K$139, 2, FALSE)),"-",VLOOKUP($T99, 'Reference data'!$J$2:$K$139, 2, FALSE))</f>
        <v>-</v>
      </c>
      <c r="V99" s="308"/>
      <c r="W99" s="308"/>
      <c r="X99" s="312"/>
      <c r="Y99" s="313"/>
      <c r="Z99" s="69"/>
      <c r="AA99" s="341"/>
      <c r="AB99" s="82"/>
      <c r="AC99" s="71"/>
      <c r="AD99" s="319"/>
      <c r="AE99" s="226" t="s">
        <v>278</v>
      </c>
      <c r="AF99" s="230" t="s">
        <v>77</v>
      </c>
      <c r="AG99" s="322"/>
    </row>
    <row r="100" spans="2:33" s="287" customFormat="1" ht="13" x14ac:dyDescent="0.3">
      <c r="B100" s="326" t="str">
        <f>IF(C100="","Skip",IF(AND(Validator!G94=TRUE,Validator!G344=TRUE,Validator!G594=TRUE,Validator!G844=TRUE,Validator!G1094=TRUE,Validator!G1344=TRUE),"Valid","Invalid"))</f>
        <v>Skip</v>
      </c>
      <c r="C100" s="69"/>
      <c r="D100" s="389"/>
      <c r="E100" s="390"/>
      <c r="F100" s="519"/>
      <c r="G100" s="393"/>
      <c r="H100" s="519"/>
      <c r="I100" s="321"/>
      <c r="J100" s="395"/>
      <c r="K100" s="396"/>
      <c r="L100" s="397"/>
      <c r="M100" s="310"/>
      <c r="N100" s="400"/>
      <c r="O100" s="398" t="s">
        <v>278</v>
      </c>
      <c r="P100" s="399" t="s">
        <v>77</v>
      </c>
      <c r="Q100" s="317"/>
      <c r="R100" s="308"/>
      <c r="S100" s="308"/>
      <c r="T100" s="317"/>
      <c r="U100" s="324" t="str">
        <f>IF(ISERROR(VLOOKUP($T100, 'Reference data'!$J$2:$K$139, 2, FALSE)),"-",VLOOKUP($T100, 'Reference data'!$J$2:$K$139, 2, FALSE))</f>
        <v>-</v>
      </c>
      <c r="V100" s="308"/>
      <c r="W100" s="308"/>
      <c r="X100" s="312"/>
      <c r="Y100" s="313"/>
      <c r="Z100" s="69"/>
      <c r="AA100" s="341"/>
      <c r="AB100" s="82"/>
      <c r="AC100" s="71"/>
      <c r="AD100" s="319"/>
      <c r="AE100" s="226" t="s">
        <v>278</v>
      </c>
      <c r="AF100" s="230" t="s">
        <v>77</v>
      </c>
      <c r="AG100" s="322"/>
    </row>
    <row r="101" spans="2:33" s="287" customFormat="1" ht="13" x14ac:dyDescent="0.3">
      <c r="B101" s="326" t="str">
        <f>IF(C101="","Skip",IF(AND(Validator!G95=TRUE,Validator!G345=TRUE,Validator!G595=TRUE,Validator!G845=TRUE,Validator!G1095=TRUE,Validator!G1345=TRUE),"Valid","Invalid"))</f>
        <v>Skip</v>
      </c>
      <c r="C101" s="69"/>
      <c r="D101" s="389"/>
      <c r="E101" s="390"/>
      <c r="F101" s="519"/>
      <c r="G101" s="393"/>
      <c r="H101" s="519"/>
      <c r="I101" s="321"/>
      <c r="J101" s="395"/>
      <c r="K101" s="396"/>
      <c r="L101" s="397"/>
      <c r="M101" s="310"/>
      <c r="N101" s="400"/>
      <c r="O101" s="398" t="s">
        <v>278</v>
      </c>
      <c r="P101" s="399" t="s">
        <v>77</v>
      </c>
      <c r="Q101" s="317"/>
      <c r="R101" s="308"/>
      <c r="S101" s="308"/>
      <c r="T101" s="317"/>
      <c r="U101" s="324" t="str">
        <f>IF(ISERROR(VLOOKUP($T101, 'Reference data'!$J$2:$K$139, 2, FALSE)),"-",VLOOKUP($T101, 'Reference data'!$J$2:$K$139, 2, FALSE))</f>
        <v>-</v>
      </c>
      <c r="V101" s="308"/>
      <c r="W101" s="308"/>
      <c r="X101" s="312"/>
      <c r="Y101" s="313"/>
      <c r="Z101" s="69"/>
      <c r="AA101" s="341"/>
      <c r="AB101" s="82"/>
      <c r="AC101" s="71"/>
      <c r="AD101" s="319"/>
      <c r="AE101" s="226" t="s">
        <v>278</v>
      </c>
      <c r="AF101" s="230" t="s">
        <v>77</v>
      </c>
      <c r="AG101" s="322"/>
    </row>
    <row r="102" spans="2:33" s="287" customFormat="1" ht="13" x14ac:dyDescent="0.3">
      <c r="B102" s="326" t="str">
        <f>IF(C102="","Skip",IF(AND(Validator!G96=TRUE,Validator!G346=TRUE,Validator!G596=TRUE,Validator!G846=TRUE,Validator!G1096=TRUE,Validator!G1346=TRUE),"Valid","Invalid"))</f>
        <v>Skip</v>
      </c>
      <c r="C102" s="69"/>
      <c r="D102" s="389"/>
      <c r="E102" s="390"/>
      <c r="F102" s="519"/>
      <c r="G102" s="393"/>
      <c r="H102" s="519"/>
      <c r="I102" s="321"/>
      <c r="J102" s="395"/>
      <c r="K102" s="396"/>
      <c r="L102" s="397"/>
      <c r="M102" s="310"/>
      <c r="N102" s="400"/>
      <c r="O102" s="398" t="s">
        <v>278</v>
      </c>
      <c r="P102" s="399" t="s">
        <v>77</v>
      </c>
      <c r="Q102" s="317"/>
      <c r="R102" s="308"/>
      <c r="S102" s="308"/>
      <c r="T102" s="317"/>
      <c r="U102" s="324" t="str">
        <f>IF(ISERROR(VLOOKUP($T102, 'Reference data'!$J$2:$K$139, 2, FALSE)),"-",VLOOKUP($T102, 'Reference data'!$J$2:$K$139, 2, FALSE))</f>
        <v>-</v>
      </c>
      <c r="V102" s="308"/>
      <c r="W102" s="308"/>
      <c r="X102" s="312"/>
      <c r="Y102" s="313"/>
      <c r="Z102" s="69"/>
      <c r="AA102" s="341"/>
      <c r="AB102" s="82"/>
      <c r="AC102" s="71"/>
      <c r="AD102" s="319"/>
      <c r="AE102" s="226" t="s">
        <v>278</v>
      </c>
      <c r="AF102" s="230" t="s">
        <v>77</v>
      </c>
      <c r="AG102" s="322"/>
    </row>
    <row r="103" spans="2:33" s="287" customFormat="1" ht="13" x14ac:dyDescent="0.3">
      <c r="B103" s="326" t="str">
        <f>IF(C103="","Skip",IF(AND(Validator!G97=TRUE,Validator!G347=TRUE,Validator!G597=TRUE,Validator!G847=TRUE,Validator!G1097=TRUE,Validator!G1347=TRUE),"Valid","Invalid"))</f>
        <v>Skip</v>
      </c>
      <c r="C103" s="69"/>
      <c r="D103" s="389"/>
      <c r="E103" s="390"/>
      <c r="F103" s="519"/>
      <c r="G103" s="393"/>
      <c r="H103" s="519"/>
      <c r="I103" s="321"/>
      <c r="J103" s="395"/>
      <c r="K103" s="396"/>
      <c r="L103" s="397"/>
      <c r="M103" s="310"/>
      <c r="N103" s="400"/>
      <c r="O103" s="398" t="s">
        <v>278</v>
      </c>
      <c r="P103" s="399" t="s">
        <v>77</v>
      </c>
      <c r="Q103" s="317"/>
      <c r="R103" s="308"/>
      <c r="S103" s="308"/>
      <c r="T103" s="317"/>
      <c r="U103" s="324" t="str">
        <f>IF(ISERROR(VLOOKUP($T103, 'Reference data'!$J$2:$K$139, 2, FALSE)),"-",VLOOKUP($T103, 'Reference data'!$J$2:$K$139, 2, FALSE))</f>
        <v>-</v>
      </c>
      <c r="V103" s="308"/>
      <c r="W103" s="308"/>
      <c r="X103" s="312"/>
      <c r="Y103" s="313"/>
      <c r="Z103" s="69"/>
      <c r="AA103" s="341"/>
      <c r="AB103" s="82"/>
      <c r="AC103" s="71"/>
      <c r="AD103" s="319"/>
      <c r="AE103" s="226" t="s">
        <v>278</v>
      </c>
      <c r="AF103" s="230" t="s">
        <v>77</v>
      </c>
      <c r="AG103" s="322"/>
    </row>
    <row r="104" spans="2:33" s="287" customFormat="1" ht="13" x14ac:dyDescent="0.3">
      <c r="B104" s="326" t="str">
        <f>IF(C104="","Skip",IF(AND(Validator!G98=TRUE,Validator!G348=TRUE,Validator!G598=TRUE,Validator!G848=TRUE,Validator!G1098=TRUE,Validator!G1348=TRUE),"Valid","Invalid"))</f>
        <v>Skip</v>
      </c>
      <c r="C104" s="69"/>
      <c r="D104" s="389"/>
      <c r="E104" s="390"/>
      <c r="F104" s="519"/>
      <c r="G104" s="393"/>
      <c r="H104" s="519"/>
      <c r="I104" s="321"/>
      <c r="J104" s="395"/>
      <c r="K104" s="396"/>
      <c r="L104" s="397"/>
      <c r="M104" s="310"/>
      <c r="N104" s="400"/>
      <c r="O104" s="398" t="s">
        <v>278</v>
      </c>
      <c r="P104" s="399" t="s">
        <v>77</v>
      </c>
      <c r="Q104" s="317"/>
      <c r="R104" s="308"/>
      <c r="S104" s="308"/>
      <c r="T104" s="317"/>
      <c r="U104" s="324" t="str">
        <f>IF(ISERROR(VLOOKUP($T104, 'Reference data'!$J$2:$K$139, 2, FALSE)),"-",VLOOKUP($T104, 'Reference data'!$J$2:$K$139, 2, FALSE))</f>
        <v>-</v>
      </c>
      <c r="V104" s="308"/>
      <c r="W104" s="308"/>
      <c r="X104" s="312"/>
      <c r="Y104" s="313"/>
      <c r="Z104" s="69"/>
      <c r="AA104" s="341"/>
      <c r="AB104" s="82"/>
      <c r="AC104" s="71"/>
      <c r="AD104" s="319"/>
      <c r="AE104" s="226" t="s">
        <v>278</v>
      </c>
      <c r="AF104" s="230" t="s">
        <v>77</v>
      </c>
      <c r="AG104" s="322"/>
    </row>
    <row r="105" spans="2:33" s="287" customFormat="1" ht="13" x14ac:dyDescent="0.3">
      <c r="B105" s="326" t="str">
        <f>IF(C105="","Skip",IF(AND(Validator!G99=TRUE,Validator!G349=TRUE,Validator!G599=TRUE,Validator!G849=TRUE,Validator!G1099=TRUE,Validator!G1349=TRUE),"Valid","Invalid"))</f>
        <v>Skip</v>
      </c>
      <c r="C105" s="69"/>
      <c r="D105" s="389"/>
      <c r="E105" s="390"/>
      <c r="F105" s="519"/>
      <c r="G105" s="393"/>
      <c r="H105" s="519"/>
      <c r="I105" s="321"/>
      <c r="J105" s="395"/>
      <c r="K105" s="396"/>
      <c r="L105" s="397"/>
      <c r="M105" s="310"/>
      <c r="N105" s="400"/>
      <c r="O105" s="398" t="s">
        <v>278</v>
      </c>
      <c r="P105" s="399" t="s">
        <v>77</v>
      </c>
      <c r="Q105" s="317"/>
      <c r="R105" s="308"/>
      <c r="S105" s="308"/>
      <c r="T105" s="317"/>
      <c r="U105" s="324" t="str">
        <f>IF(ISERROR(VLOOKUP($T105, 'Reference data'!$J$2:$K$139, 2, FALSE)),"-",VLOOKUP($T105, 'Reference data'!$J$2:$K$139, 2, FALSE))</f>
        <v>-</v>
      </c>
      <c r="V105" s="308"/>
      <c r="W105" s="308"/>
      <c r="X105" s="312"/>
      <c r="Y105" s="313"/>
      <c r="Z105" s="69"/>
      <c r="AA105" s="341"/>
      <c r="AB105" s="82"/>
      <c r="AC105" s="71"/>
      <c r="AD105" s="319"/>
      <c r="AE105" s="226" t="s">
        <v>278</v>
      </c>
      <c r="AF105" s="230" t="s">
        <v>77</v>
      </c>
      <c r="AG105" s="322"/>
    </row>
    <row r="106" spans="2:33" s="287" customFormat="1" ht="13" x14ac:dyDescent="0.3">
      <c r="B106" s="326" t="str">
        <f>IF(C106="","Skip",IF(AND(Validator!G100=TRUE,Validator!G350=TRUE,Validator!G600=TRUE,Validator!G850=TRUE,Validator!G1100=TRUE,Validator!G1350=TRUE),"Valid","Invalid"))</f>
        <v>Skip</v>
      </c>
      <c r="C106" s="69"/>
      <c r="D106" s="389"/>
      <c r="E106" s="390"/>
      <c r="F106" s="519"/>
      <c r="G106" s="393"/>
      <c r="H106" s="519"/>
      <c r="I106" s="321"/>
      <c r="J106" s="395"/>
      <c r="K106" s="396"/>
      <c r="L106" s="397"/>
      <c r="M106" s="310"/>
      <c r="N106" s="400"/>
      <c r="O106" s="398" t="s">
        <v>278</v>
      </c>
      <c r="P106" s="399" t="s">
        <v>77</v>
      </c>
      <c r="Q106" s="317"/>
      <c r="R106" s="308"/>
      <c r="S106" s="308"/>
      <c r="T106" s="317"/>
      <c r="U106" s="324" t="str">
        <f>IF(ISERROR(VLOOKUP($T106, 'Reference data'!$J$2:$K$139, 2, FALSE)),"-",VLOOKUP($T106, 'Reference data'!$J$2:$K$139, 2, FALSE))</f>
        <v>-</v>
      </c>
      <c r="V106" s="308"/>
      <c r="W106" s="308"/>
      <c r="X106" s="312"/>
      <c r="Y106" s="313"/>
      <c r="Z106" s="69"/>
      <c r="AA106" s="341"/>
      <c r="AB106" s="82"/>
      <c r="AC106" s="71"/>
      <c r="AD106" s="319"/>
      <c r="AE106" s="226" t="s">
        <v>278</v>
      </c>
      <c r="AF106" s="230" t="s">
        <v>77</v>
      </c>
      <c r="AG106" s="322"/>
    </row>
    <row r="107" spans="2:33" s="287" customFormat="1" ht="13" x14ac:dyDescent="0.3">
      <c r="B107" s="326" t="str">
        <f>IF(C107="","Skip",IF(AND(Validator!G101=TRUE,Validator!G351=TRUE,Validator!G601=TRUE,Validator!G851=TRUE,Validator!G1101=TRUE,Validator!G1351=TRUE),"Valid","Invalid"))</f>
        <v>Skip</v>
      </c>
      <c r="C107" s="69"/>
      <c r="D107" s="389"/>
      <c r="E107" s="390"/>
      <c r="F107" s="519"/>
      <c r="G107" s="393"/>
      <c r="H107" s="519"/>
      <c r="I107" s="321"/>
      <c r="J107" s="395"/>
      <c r="K107" s="396"/>
      <c r="L107" s="397"/>
      <c r="M107" s="310"/>
      <c r="N107" s="400"/>
      <c r="O107" s="398" t="s">
        <v>278</v>
      </c>
      <c r="P107" s="399" t="s">
        <v>77</v>
      </c>
      <c r="Q107" s="317"/>
      <c r="R107" s="308"/>
      <c r="S107" s="308"/>
      <c r="T107" s="317"/>
      <c r="U107" s="324" t="str">
        <f>IF(ISERROR(VLOOKUP($T107, 'Reference data'!$J$2:$K$139, 2, FALSE)),"-",VLOOKUP($T107, 'Reference data'!$J$2:$K$139, 2, FALSE))</f>
        <v>-</v>
      </c>
      <c r="V107" s="308"/>
      <c r="W107" s="308"/>
      <c r="X107" s="312"/>
      <c r="Y107" s="313"/>
      <c r="Z107" s="69"/>
      <c r="AA107" s="341"/>
      <c r="AB107" s="82"/>
      <c r="AC107" s="71"/>
      <c r="AD107" s="319"/>
      <c r="AE107" s="226" t="s">
        <v>278</v>
      </c>
      <c r="AF107" s="230" t="s">
        <v>77</v>
      </c>
      <c r="AG107" s="322"/>
    </row>
    <row r="108" spans="2:33" s="287" customFormat="1" ht="13" x14ac:dyDescent="0.3">
      <c r="B108" s="326" t="str">
        <f>IF(C108="","Skip",IF(AND(Validator!G102=TRUE,Validator!G352=TRUE,Validator!G602=TRUE,Validator!G852=TRUE,Validator!G1102=TRUE,Validator!G1352=TRUE),"Valid","Invalid"))</f>
        <v>Skip</v>
      </c>
      <c r="C108" s="69"/>
      <c r="D108" s="389"/>
      <c r="E108" s="390"/>
      <c r="F108" s="519"/>
      <c r="G108" s="393"/>
      <c r="H108" s="519"/>
      <c r="I108" s="321"/>
      <c r="J108" s="395"/>
      <c r="K108" s="396"/>
      <c r="L108" s="397"/>
      <c r="M108" s="310"/>
      <c r="N108" s="400"/>
      <c r="O108" s="398" t="s">
        <v>278</v>
      </c>
      <c r="P108" s="399" t="s">
        <v>77</v>
      </c>
      <c r="Q108" s="317"/>
      <c r="R108" s="308"/>
      <c r="S108" s="308"/>
      <c r="T108" s="317"/>
      <c r="U108" s="324" t="str">
        <f>IF(ISERROR(VLOOKUP($T108, 'Reference data'!$J$2:$K$139, 2, FALSE)),"-",VLOOKUP($T108, 'Reference data'!$J$2:$K$139, 2, FALSE))</f>
        <v>-</v>
      </c>
      <c r="V108" s="308"/>
      <c r="W108" s="308"/>
      <c r="X108" s="312"/>
      <c r="Y108" s="313"/>
      <c r="Z108" s="69"/>
      <c r="AA108" s="341"/>
      <c r="AB108" s="82"/>
      <c r="AC108" s="71"/>
      <c r="AD108" s="319"/>
      <c r="AE108" s="226" t="s">
        <v>278</v>
      </c>
      <c r="AF108" s="230" t="s">
        <v>77</v>
      </c>
      <c r="AG108" s="322"/>
    </row>
    <row r="109" spans="2:33" s="287" customFormat="1" ht="13" x14ac:dyDescent="0.3">
      <c r="B109" s="326" t="str">
        <f>IF(C109="","Skip",IF(AND(Validator!G103=TRUE,Validator!G353=TRUE,Validator!G603=TRUE,Validator!G853=TRUE,Validator!G1103=TRUE,Validator!G1353=TRUE),"Valid","Invalid"))</f>
        <v>Skip</v>
      </c>
      <c r="C109" s="69"/>
      <c r="D109" s="389"/>
      <c r="E109" s="390"/>
      <c r="F109" s="519"/>
      <c r="G109" s="393"/>
      <c r="H109" s="519"/>
      <c r="I109" s="321"/>
      <c r="J109" s="395"/>
      <c r="K109" s="396"/>
      <c r="L109" s="397"/>
      <c r="M109" s="310"/>
      <c r="N109" s="400"/>
      <c r="O109" s="398" t="s">
        <v>278</v>
      </c>
      <c r="P109" s="399" t="s">
        <v>77</v>
      </c>
      <c r="Q109" s="317"/>
      <c r="R109" s="308"/>
      <c r="S109" s="308"/>
      <c r="T109" s="317"/>
      <c r="U109" s="324" t="str">
        <f>IF(ISERROR(VLOOKUP($T109, 'Reference data'!$J$2:$K$139, 2, FALSE)),"-",VLOOKUP($T109, 'Reference data'!$J$2:$K$139, 2, FALSE))</f>
        <v>-</v>
      </c>
      <c r="V109" s="308"/>
      <c r="W109" s="308"/>
      <c r="X109" s="312"/>
      <c r="Y109" s="313"/>
      <c r="Z109" s="69"/>
      <c r="AA109" s="341"/>
      <c r="AB109" s="82"/>
      <c r="AC109" s="71"/>
      <c r="AD109" s="319"/>
      <c r="AE109" s="226" t="s">
        <v>278</v>
      </c>
      <c r="AF109" s="230" t="s">
        <v>77</v>
      </c>
      <c r="AG109" s="322"/>
    </row>
    <row r="110" spans="2:33" s="287" customFormat="1" ht="13" x14ac:dyDescent="0.3">
      <c r="B110" s="326" t="str">
        <f>IF(C110="","Skip",IF(AND(Validator!G104=TRUE,Validator!G354=TRUE,Validator!G604=TRUE,Validator!G854=TRUE,Validator!G1104=TRUE,Validator!G1354=TRUE),"Valid","Invalid"))</f>
        <v>Skip</v>
      </c>
      <c r="C110" s="69"/>
      <c r="D110" s="389"/>
      <c r="E110" s="390"/>
      <c r="F110" s="519"/>
      <c r="G110" s="393"/>
      <c r="H110" s="519"/>
      <c r="I110" s="321"/>
      <c r="J110" s="395"/>
      <c r="K110" s="396"/>
      <c r="L110" s="397"/>
      <c r="M110" s="310"/>
      <c r="N110" s="400"/>
      <c r="O110" s="398" t="s">
        <v>278</v>
      </c>
      <c r="P110" s="399" t="s">
        <v>77</v>
      </c>
      <c r="Q110" s="317"/>
      <c r="R110" s="308"/>
      <c r="S110" s="308"/>
      <c r="T110" s="317"/>
      <c r="U110" s="324" t="str">
        <f>IF(ISERROR(VLOOKUP($T110, 'Reference data'!$J$2:$K$139, 2, FALSE)),"-",VLOOKUP($T110, 'Reference data'!$J$2:$K$139, 2, FALSE))</f>
        <v>-</v>
      </c>
      <c r="V110" s="308"/>
      <c r="W110" s="308"/>
      <c r="X110" s="312"/>
      <c r="Y110" s="313"/>
      <c r="Z110" s="69"/>
      <c r="AA110" s="341"/>
      <c r="AB110" s="82"/>
      <c r="AC110" s="71"/>
      <c r="AD110" s="319"/>
      <c r="AE110" s="226" t="s">
        <v>278</v>
      </c>
      <c r="AF110" s="230" t="s">
        <v>77</v>
      </c>
      <c r="AG110" s="322"/>
    </row>
    <row r="111" spans="2:33" s="287" customFormat="1" ht="13" x14ac:dyDescent="0.3">
      <c r="B111" s="326" t="str">
        <f>IF(C111="","Skip",IF(AND(Validator!G105=TRUE,Validator!G355=TRUE,Validator!G605=TRUE,Validator!G855=TRUE,Validator!G1105=TRUE,Validator!G1355=TRUE),"Valid","Invalid"))</f>
        <v>Skip</v>
      </c>
      <c r="C111" s="69"/>
      <c r="D111" s="389"/>
      <c r="E111" s="390"/>
      <c r="F111" s="519"/>
      <c r="G111" s="393"/>
      <c r="H111" s="519"/>
      <c r="I111" s="321"/>
      <c r="J111" s="395"/>
      <c r="K111" s="396"/>
      <c r="L111" s="397"/>
      <c r="M111" s="310"/>
      <c r="N111" s="400"/>
      <c r="O111" s="398" t="s">
        <v>278</v>
      </c>
      <c r="P111" s="399" t="s">
        <v>77</v>
      </c>
      <c r="Q111" s="317"/>
      <c r="R111" s="308"/>
      <c r="S111" s="308"/>
      <c r="T111" s="317"/>
      <c r="U111" s="324" t="str">
        <f>IF(ISERROR(VLOOKUP($T111, 'Reference data'!$J$2:$K$139, 2, FALSE)),"-",VLOOKUP($T111, 'Reference data'!$J$2:$K$139, 2, FALSE))</f>
        <v>-</v>
      </c>
      <c r="V111" s="308"/>
      <c r="W111" s="308"/>
      <c r="X111" s="312"/>
      <c r="Y111" s="313"/>
      <c r="Z111" s="69"/>
      <c r="AA111" s="341"/>
      <c r="AB111" s="82"/>
      <c r="AC111" s="71"/>
      <c r="AD111" s="319"/>
      <c r="AE111" s="226" t="s">
        <v>278</v>
      </c>
      <c r="AF111" s="230" t="s">
        <v>77</v>
      </c>
      <c r="AG111" s="322"/>
    </row>
    <row r="112" spans="2:33" s="287" customFormat="1" ht="13" x14ac:dyDescent="0.3">
      <c r="B112" s="326" t="str">
        <f>IF(C112="","Skip",IF(AND(Validator!G106=TRUE,Validator!G356=TRUE,Validator!G606=TRUE,Validator!G856=TRUE,Validator!G1106=TRUE,Validator!G1356=TRUE),"Valid","Invalid"))</f>
        <v>Skip</v>
      </c>
      <c r="C112" s="69"/>
      <c r="D112" s="389"/>
      <c r="E112" s="390"/>
      <c r="F112" s="519"/>
      <c r="G112" s="393"/>
      <c r="H112" s="519"/>
      <c r="I112" s="321"/>
      <c r="J112" s="395"/>
      <c r="K112" s="396"/>
      <c r="L112" s="397"/>
      <c r="M112" s="310"/>
      <c r="N112" s="400"/>
      <c r="O112" s="398" t="s">
        <v>278</v>
      </c>
      <c r="P112" s="399" t="s">
        <v>77</v>
      </c>
      <c r="Q112" s="317"/>
      <c r="R112" s="308"/>
      <c r="S112" s="308"/>
      <c r="T112" s="317"/>
      <c r="U112" s="324" t="str">
        <f>IF(ISERROR(VLOOKUP($T112, 'Reference data'!$J$2:$K$139, 2, FALSE)),"-",VLOOKUP($T112, 'Reference data'!$J$2:$K$139, 2, FALSE))</f>
        <v>-</v>
      </c>
      <c r="V112" s="308"/>
      <c r="W112" s="308"/>
      <c r="X112" s="312"/>
      <c r="Y112" s="313"/>
      <c r="Z112" s="69"/>
      <c r="AA112" s="341"/>
      <c r="AB112" s="82"/>
      <c r="AC112" s="71"/>
      <c r="AD112" s="319"/>
      <c r="AE112" s="226" t="s">
        <v>278</v>
      </c>
      <c r="AF112" s="230" t="s">
        <v>77</v>
      </c>
      <c r="AG112" s="322"/>
    </row>
    <row r="113" spans="2:33" s="287" customFormat="1" ht="13" x14ac:dyDescent="0.3">
      <c r="B113" s="326" t="str">
        <f>IF(C113="","Skip",IF(AND(Validator!G107=TRUE,Validator!G357=TRUE,Validator!G607=TRUE,Validator!G857=TRUE,Validator!G1107=TRUE,Validator!G1357=TRUE),"Valid","Invalid"))</f>
        <v>Skip</v>
      </c>
      <c r="C113" s="69"/>
      <c r="D113" s="389"/>
      <c r="E113" s="390"/>
      <c r="F113" s="519"/>
      <c r="G113" s="393"/>
      <c r="H113" s="519"/>
      <c r="I113" s="321"/>
      <c r="J113" s="395"/>
      <c r="K113" s="396"/>
      <c r="L113" s="397"/>
      <c r="M113" s="310"/>
      <c r="N113" s="400"/>
      <c r="O113" s="398" t="s">
        <v>278</v>
      </c>
      <c r="P113" s="399" t="s">
        <v>77</v>
      </c>
      <c r="Q113" s="317"/>
      <c r="R113" s="308"/>
      <c r="S113" s="308"/>
      <c r="T113" s="317"/>
      <c r="U113" s="324" t="str">
        <f>IF(ISERROR(VLOOKUP($T113, 'Reference data'!$J$2:$K$139, 2, FALSE)),"-",VLOOKUP($T113, 'Reference data'!$J$2:$K$139, 2, FALSE))</f>
        <v>-</v>
      </c>
      <c r="V113" s="308"/>
      <c r="W113" s="308"/>
      <c r="X113" s="312"/>
      <c r="Y113" s="313"/>
      <c r="Z113" s="69"/>
      <c r="AA113" s="341"/>
      <c r="AB113" s="82"/>
      <c r="AC113" s="71"/>
      <c r="AD113" s="319"/>
      <c r="AE113" s="226" t="s">
        <v>278</v>
      </c>
      <c r="AF113" s="230" t="s">
        <v>77</v>
      </c>
      <c r="AG113" s="322"/>
    </row>
    <row r="114" spans="2:33" s="287" customFormat="1" ht="13" x14ac:dyDescent="0.3">
      <c r="B114" s="326" t="str">
        <f>IF(C114="","Skip",IF(AND(Validator!G108=TRUE,Validator!G358=TRUE,Validator!G608=TRUE,Validator!G858=TRUE,Validator!G1108=TRUE,Validator!G1358=TRUE),"Valid","Invalid"))</f>
        <v>Skip</v>
      </c>
      <c r="C114" s="69"/>
      <c r="D114" s="389"/>
      <c r="E114" s="390"/>
      <c r="F114" s="519"/>
      <c r="G114" s="393"/>
      <c r="H114" s="519"/>
      <c r="I114" s="321"/>
      <c r="J114" s="395"/>
      <c r="K114" s="396"/>
      <c r="L114" s="397"/>
      <c r="M114" s="310"/>
      <c r="N114" s="400"/>
      <c r="O114" s="398" t="s">
        <v>278</v>
      </c>
      <c r="P114" s="399" t="s">
        <v>77</v>
      </c>
      <c r="Q114" s="317"/>
      <c r="R114" s="308"/>
      <c r="S114" s="308"/>
      <c r="T114" s="317"/>
      <c r="U114" s="324" t="str">
        <f>IF(ISERROR(VLOOKUP($T114, 'Reference data'!$J$2:$K$139, 2, FALSE)),"-",VLOOKUP($T114, 'Reference data'!$J$2:$K$139, 2, FALSE))</f>
        <v>-</v>
      </c>
      <c r="V114" s="308"/>
      <c r="W114" s="308"/>
      <c r="X114" s="312"/>
      <c r="Y114" s="313"/>
      <c r="Z114" s="69"/>
      <c r="AA114" s="341"/>
      <c r="AB114" s="82"/>
      <c r="AC114" s="71"/>
      <c r="AD114" s="319"/>
      <c r="AE114" s="226" t="s">
        <v>278</v>
      </c>
      <c r="AF114" s="230" t="s">
        <v>77</v>
      </c>
      <c r="AG114" s="322"/>
    </row>
    <row r="115" spans="2:33" s="287" customFormat="1" ht="13" x14ac:dyDescent="0.3">
      <c r="B115" s="326" t="str">
        <f>IF(C115="","Skip",IF(AND(Validator!G109=TRUE,Validator!G359=TRUE,Validator!G609=TRUE,Validator!G859=TRUE,Validator!G1109=TRUE,Validator!G1359=TRUE),"Valid","Invalid"))</f>
        <v>Skip</v>
      </c>
      <c r="C115" s="69"/>
      <c r="D115" s="389"/>
      <c r="E115" s="390"/>
      <c r="F115" s="519"/>
      <c r="G115" s="393"/>
      <c r="H115" s="519"/>
      <c r="I115" s="321"/>
      <c r="J115" s="395"/>
      <c r="K115" s="396"/>
      <c r="L115" s="397"/>
      <c r="M115" s="310"/>
      <c r="N115" s="400"/>
      <c r="O115" s="398" t="s">
        <v>278</v>
      </c>
      <c r="P115" s="399" t="s">
        <v>77</v>
      </c>
      <c r="Q115" s="317"/>
      <c r="R115" s="308"/>
      <c r="S115" s="308"/>
      <c r="T115" s="317"/>
      <c r="U115" s="324" t="str">
        <f>IF(ISERROR(VLOOKUP($T115, 'Reference data'!$J$2:$K$139, 2, FALSE)),"-",VLOOKUP($T115, 'Reference data'!$J$2:$K$139, 2, FALSE))</f>
        <v>-</v>
      </c>
      <c r="V115" s="308"/>
      <c r="W115" s="308"/>
      <c r="X115" s="312"/>
      <c r="Y115" s="313"/>
      <c r="Z115" s="69"/>
      <c r="AA115" s="341"/>
      <c r="AB115" s="82"/>
      <c r="AC115" s="71"/>
      <c r="AD115" s="319"/>
      <c r="AE115" s="226" t="s">
        <v>278</v>
      </c>
      <c r="AF115" s="230" t="s">
        <v>77</v>
      </c>
      <c r="AG115" s="322"/>
    </row>
    <row r="116" spans="2:33" s="287" customFormat="1" ht="13" x14ac:dyDescent="0.3">
      <c r="B116" s="326" t="str">
        <f>IF(C116="","Skip",IF(AND(Validator!G110=TRUE,Validator!G360=TRUE,Validator!G610=TRUE,Validator!G860=TRUE,Validator!G1110=TRUE,Validator!G1360=TRUE),"Valid","Invalid"))</f>
        <v>Skip</v>
      </c>
      <c r="C116" s="69"/>
      <c r="D116" s="389"/>
      <c r="E116" s="390"/>
      <c r="F116" s="519"/>
      <c r="G116" s="393"/>
      <c r="H116" s="519"/>
      <c r="I116" s="321"/>
      <c r="J116" s="395"/>
      <c r="K116" s="396"/>
      <c r="L116" s="397"/>
      <c r="M116" s="310"/>
      <c r="N116" s="400"/>
      <c r="O116" s="398" t="s">
        <v>278</v>
      </c>
      <c r="P116" s="399" t="s">
        <v>77</v>
      </c>
      <c r="Q116" s="317"/>
      <c r="R116" s="308"/>
      <c r="S116" s="308"/>
      <c r="T116" s="317"/>
      <c r="U116" s="324" t="str">
        <f>IF(ISERROR(VLOOKUP($T116, 'Reference data'!$J$2:$K$139, 2, FALSE)),"-",VLOOKUP($T116, 'Reference data'!$J$2:$K$139, 2, FALSE))</f>
        <v>-</v>
      </c>
      <c r="V116" s="308"/>
      <c r="W116" s="308"/>
      <c r="X116" s="312"/>
      <c r="Y116" s="313"/>
      <c r="Z116" s="69"/>
      <c r="AA116" s="341"/>
      <c r="AB116" s="82"/>
      <c r="AC116" s="71"/>
      <c r="AD116" s="319"/>
      <c r="AE116" s="226" t="s">
        <v>278</v>
      </c>
      <c r="AF116" s="230" t="s">
        <v>77</v>
      </c>
      <c r="AG116" s="322"/>
    </row>
    <row r="117" spans="2:33" s="287" customFormat="1" ht="13" x14ac:dyDescent="0.3">
      <c r="B117" s="326" t="str">
        <f>IF(C117="","Skip",IF(AND(Validator!G111=TRUE,Validator!G361=TRUE,Validator!G611=TRUE,Validator!G861=TRUE,Validator!G1111=TRUE,Validator!G1361=TRUE),"Valid","Invalid"))</f>
        <v>Skip</v>
      </c>
      <c r="C117" s="69"/>
      <c r="D117" s="389"/>
      <c r="E117" s="390"/>
      <c r="F117" s="519"/>
      <c r="G117" s="393"/>
      <c r="H117" s="519"/>
      <c r="I117" s="321"/>
      <c r="J117" s="395"/>
      <c r="K117" s="396"/>
      <c r="L117" s="397"/>
      <c r="M117" s="310"/>
      <c r="N117" s="400"/>
      <c r="O117" s="398" t="s">
        <v>278</v>
      </c>
      <c r="P117" s="399" t="s">
        <v>77</v>
      </c>
      <c r="Q117" s="317"/>
      <c r="R117" s="308"/>
      <c r="S117" s="308"/>
      <c r="T117" s="317"/>
      <c r="U117" s="324" t="str">
        <f>IF(ISERROR(VLOOKUP($T117, 'Reference data'!$J$2:$K$139, 2, FALSE)),"-",VLOOKUP($T117, 'Reference data'!$J$2:$K$139, 2, FALSE))</f>
        <v>-</v>
      </c>
      <c r="V117" s="308"/>
      <c r="W117" s="308"/>
      <c r="X117" s="312"/>
      <c r="Y117" s="313"/>
      <c r="Z117" s="69"/>
      <c r="AA117" s="341"/>
      <c r="AB117" s="82"/>
      <c r="AC117" s="71"/>
      <c r="AD117" s="319"/>
      <c r="AE117" s="226" t="s">
        <v>278</v>
      </c>
      <c r="AF117" s="230" t="s">
        <v>77</v>
      </c>
      <c r="AG117" s="322"/>
    </row>
    <row r="118" spans="2:33" s="287" customFormat="1" ht="13" x14ac:dyDescent="0.3">
      <c r="B118" s="326" t="str">
        <f>IF(C118="","Skip",IF(AND(Validator!G112=TRUE,Validator!G362=TRUE,Validator!G612=TRUE,Validator!G862=TRUE,Validator!G1112=TRUE,Validator!G1362=TRUE),"Valid","Invalid"))</f>
        <v>Skip</v>
      </c>
      <c r="C118" s="69"/>
      <c r="D118" s="389"/>
      <c r="E118" s="390"/>
      <c r="F118" s="519"/>
      <c r="G118" s="393"/>
      <c r="H118" s="519"/>
      <c r="I118" s="321"/>
      <c r="J118" s="395"/>
      <c r="K118" s="396"/>
      <c r="L118" s="397"/>
      <c r="M118" s="310"/>
      <c r="N118" s="400"/>
      <c r="O118" s="398" t="s">
        <v>278</v>
      </c>
      <c r="P118" s="399" t="s">
        <v>77</v>
      </c>
      <c r="Q118" s="317"/>
      <c r="R118" s="308"/>
      <c r="S118" s="308"/>
      <c r="T118" s="317"/>
      <c r="U118" s="324" t="str">
        <f>IF(ISERROR(VLOOKUP($T118, 'Reference data'!$J$2:$K$139, 2, FALSE)),"-",VLOOKUP($T118, 'Reference data'!$J$2:$K$139, 2, FALSE))</f>
        <v>-</v>
      </c>
      <c r="V118" s="308"/>
      <c r="W118" s="308"/>
      <c r="X118" s="312"/>
      <c r="Y118" s="313"/>
      <c r="Z118" s="69"/>
      <c r="AA118" s="341"/>
      <c r="AB118" s="82"/>
      <c r="AC118" s="71"/>
      <c r="AD118" s="319"/>
      <c r="AE118" s="226" t="s">
        <v>278</v>
      </c>
      <c r="AF118" s="230" t="s">
        <v>77</v>
      </c>
      <c r="AG118" s="322"/>
    </row>
    <row r="119" spans="2:33" s="287" customFormat="1" ht="13" x14ac:dyDescent="0.3">
      <c r="B119" s="326" t="str">
        <f>IF(C119="","Skip",IF(AND(Validator!G113=TRUE,Validator!G363=TRUE,Validator!G613=TRUE,Validator!G863=TRUE,Validator!G1113=TRUE,Validator!G1363=TRUE),"Valid","Invalid"))</f>
        <v>Skip</v>
      </c>
      <c r="C119" s="69"/>
      <c r="D119" s="389"/>
      <c r="E119" s="390"/>
      <c r="F119" s="519"/>
      <c r="G119" s="393"/>
      <c r="H119" s="519"/>
      <c r="I119" s="321"/>
      <c r="J119" s="395"/>
      <c r="K119" s="396"/>
      <c r="L119" s="397"/>
      <c r="M119" s="310"/>
      <c r="N119" s="400"/>
      <c r="O119" s="398" t="s">
        <v>278</v>
      </c>
      <c r="P119" s="399" t="s">
        <v>77</v>
      </c>
      <c r="Q119" s="317"/>
      <c r="R119" s="308"/>
      <c r="S119" s="308"/>
      <c r="T119" s="317"/>
      <c r="U119" s="324" t="str">
        <f>IF(ISERROR(VLOOKUP($T119, 'Reference data'!$J$2:$K$139, 2, FALSE)),"-",VLOOKUP($T119, 'Reference data'!$J$2:$K$139, 2, FALSE))</f>
        <v>-</v>
      </c>
      <c r="V119" s="308"/>
      <c r="W119" s="308"/>
      <c r="X119" s="312"/>
      <c r="Y119" s="313"/>
      <c r="Z119" s="69"/>
      <c r="AA119" s="341"/>
      <c r="AB119" s="82"/>
      <c r="AC119" s="71"/>
      <c r="AD119" s="319"/>
      <c r="AE119" s="226" t="s">
        <v>278</v>
      </c>
      <c r="AF119" s="230" t="s">
        <v>77</v>
      </c>
      <c r="AG119" s="322"/>
    </row>
    <row r="120" spans="2:33" s="287" customFormat="1" ht="13" x14ac:dyDescent="0.3">
      <c r="B120" s="326" t="str">
        <f>IF(C120="","Skip",IF(AND(Validator!G114=TRUE,Validator!G364=TRUE,Validator!G614=TRUE,Validator!G864=TRUE,Validator!G1114=TRUE,Validator!G1364=TRUE),"Valid","Invalid"))</f>
        <v>Skip</v>
      </c>
      <c r="C120" s="69"/>
      <c r="D120" s="389"/>
      <c r="E120" s="390"/>
      <c r="F120" s="519"/>
      <c r="G120" s="393"/>
      <c r="H120" s="519"/>
      <c r="I120" s="321"/>
      <c r="J120" s="395"/>
      <c r="K120" s="396"/>
      <c r="L120" s="397"/>
      <c r="M120" s="310"/>
      <c r="N120" s="400"/>
      <c r="O120" s="398" t="s">
        <v>278</v>
      </c>
      <c r="P120" s="399" t="s">
        <v>77</v>
      </c>
      <c r="Q120" s="317"/>
      <c r="R120" s="308"/>
      <c r="S120" s="308"/>
      <c r="T120" s="317"/>
      <c r="U120" s="324" t="str">
        <f>IF(ISERROR(VLOOKUP($T120, 'Reference data'!$J$2:$K$139, 2, FALSE)),"-",VLOOKUP($T120, 'Reference data'!$J$2:$K$139, 2, FALSE))</f>
        <v>-</v>
      </c>
      <c r="V120" s="308"/>
      <c r="W120" s="308"/>
      <c r="X120" s="312"/>
      <c r="Y120" s="313"/>
      <c r="Z120" s="69"/>
      <c r="AA120" s="341"/>
      <c r="AB120" s="82"/>
      <c r="AC120" s="71"/>
      <c r="AD120" s="319"/>
      <c r="AE120" s="226" t="s">
        <v>278</v>
      </c>
      <c r="AF120" s="230" t="s">
        <v>77</v>
      </c>
      <c r="AG120" s="322"/>
    </row>
    <row r="121" spans="2:33" s="287" customFormat="1" ht="13" x14ac:dyDescent="0.3">
      <c r="B121" s="326" t="str">
        <f>IF(C121="","Skip",IF(AND(Validator!G115=TRUE,Validator!G365=TRUE,Validator!G615=TRUE,Validator!G865=TRUE,Validator!G1115=TRUE,Validator!G1365=TRUE),"Valid","Invalid"))</f>
        <v>Skip</v>
      </c>
      <c r="C121" s="69"/>
      <c r="D121" s="389"/>
      <c r="E121" s="390"/>
      <c r="F121" s="519"/>
      <c r="G121" s="393"/>
      <c r="H121" s="519"/>
      <c r="I121" s="321"/>
      <c r="J121" s="395"/>
      <c r="K121" s="396"/>
      <c r="L121" s="397"/>
      <c r="M121" s="310"/>
      <c r="N121" s="400"/>
      <c r="O121" s="398" t="s">
        <v>278</v>
      </c>
      <c r="P121" s="399" t="s">
        <v>77</v>
      </c>
      <c r="Q121" s="317"/>
      <c r="R121" s="308"/>
      <c r="S121" s="308"/>
      <c r="T121" s="317"/>
      <c r="U121" s="324" t="str">
        <f>IF(ISERROR(VLOOKUP($T121, 'Reference data'!$J$2:$K$139, 2, FALSE)),"-",VLOOKUP($T121, 'Reference data'!$J$2:$K$139, 2, FALSE))</f>
        <v>-</v>
      </c>
      <c r="V121" s="308"/>
      <c r="W121" s="308"/>
      <c r="X121" s="312"/>
      <c r="Y121" s="313"/>
      <c r="Z121" s="69"/>
      <c r="AA121" s="341"/>
      <c r="AB121" s="82"/>
      <c r="AC121" s="71"/>
      <c r="AD121" s="319"/>
      <c r="AE121" s="226" t="s">
        <v>278</v>
      </c>
      <c r="AF121" s="230" t="s">
        <v>77</v>
      </c>
      <c r="AG121" s="322"/>
    </row>
    <row r="122" spans="2:33" s="287" customFormat="1" ht="13" x14ac:dyDescent="0.3">
      <c r="B122" s="326" t="str">
        <f>IF(C122="","Skip",IF(AND(Validator!G116=TRUE,Validator!G366=TRUE,Validator!G616=TRUE,Validator!G866=TRUE,Validator!G1116=TRUE,Validator!G1366=TRUE),"Valid","Invalid"))</f>
        <v>Skip</v>
      </c>
      <c r="C122" s="69"/>
      <c r="D122" s="389"/>
      <c r="E122" s="390"/>
      <c r="F122" s="519"/>
      <c r="G122" s="393"/>
      <c r="H122" s="519"/>
      <c r="I122" s="321"/>
      <c r="J122" s="395"/>
      <c r="K122" s="396"/>
      <c r="L122" s="397"/>
      <c r="M122" s="310"/>
      <c r="N122" s="400"/>
      <c r="O122" s="398" t="s">
        <v>278</v>
      </c>
      <c r="P122" s="399" t="s">
        <v>77</v>
      </c>
      <c r="Q122" s="317"/>
      <c r="R122" s="308"/>
      <c r="S122" s="308"/>
      <c r="T122" s="317"/>
      <c r="U122" s="324" t="str">
        <f>IF(ISERROR(VLOOKUP($T122, 'Reference data'!$J$2:$K$139, 2, FALSE)),"-",VLOOKUP($T122, 'Reference data'!$J$2:$K$139, 2, FALSE))</f>
        <v>-</v>
      </c>
      <c r="V122" s="308"/>
      <c r="W122" s="308"/>
      <c r="X122" s="312"/>
      <c r="Y122" s="313"/>
      <c r="Z122" s="69"/>
      <c r="AA122" s="341"/>
      <c r="AB122" s="82"/>
      <c r="AC122" s="71"/>
      <c r="AD122" s="319"/>
      <c r="AE122" s="226" t="s">
        <v>278</v>
      </c>
      <c r="AF122" s="230" t="s">
        <v>77</v>
      </c>
      <c r="AG122" s="322"/>
    </row>
    <row r="123" spans="2:33" s="287" customFormat="1" ht="13" x14ac:dyDescent="0.3">
      <c r="B123" s="326" t="str">
        <f>IF(C123="","Skip",IF(AND(Validator!G117=TRUE,Validator!G367=TRUE,Validator!G617=TRUE,Validator!G867=TRUE,Validator!G1117=TRUE,Validator!G1367=TRUE),"Valid","Invalid"))</f>
        <v>Skip</v>
      </c>
      <c r="C123" s="69"/>
      <c r="D123" s="389"/>
      <c r="E123" s="390"/>
      <c r="F123" s="519"/>
      <c r="G123" s="393"/>
      <c r="H123" s="519"/>
      <c r="I123" s="321"/>
      <c r="J123" s="395"/>
      <c r="K123" s="396"/>
      <c r="L123" s="397"/>
      <c r="M123" s="310"/>
      <c r="N123" s="400"/>
      <c r="O123" s="398" t="s">
        <v>278</v>
      </c>
      <c r="P123" s="399" t="s">
        <v>77</v>
      </c>
      <c r="Q123" s="317"/>
      <c r="R123" s="308"/>
      <c r="S123" s="308"/>
      <c r="T123" s="317"/>
      <c r="U123" s="324" t="str">
        <f>IF(ISERROR(VLOOKUP($T123, 'Reference data'!$J$2:$K$139, 2, FALSE)),"-",VLOOKUP($T123, 'Reference data'!$J$2:$K$139, 2, FALSE))</f>
        <v>-</v>
      </c>
      <c r="V123" s="308"/>
      <c r="W123" s="308"/>
      <c r="X123" s="312"/>
      <c r="Y123" s="313"/>
      <c r="Z123" s="69"/>
      <c r="AA123" s="341"/>
      <c r="AB123" s="82"/>
      <c r="AC123" s="71"/>
      <c r="AD123" s="319"/>
      <c r="AE123" s="226" t="s">
        <v>278</v>
      </c>
      <c r="AF123" s="230" t="s">
        <v>77</v>
      </c>
      <c r="AG123" s="322"/>
    </row>
    <row r="124" spans="2:33" s="287" customFormat="1" ht="13" x14ac:dyDescent="0.3">
      <c r="B124" s="326" t="str">
        <f>IF(C124="","Skip",IF(AND(Validator!G118=TRUE,Validator!G368=TRUE,Validator!G618=TRUE,Validator!G868=TRUE,Validator!G1118=TRUE,Validator!G1368=TRUE),"Valid","Invalid"))</f>
        <v>Skip</v>
      </c>
      <c r="C124" s="69"/>
      <c r="D124" s="389"/>
      <c r="E124" s="390"/>
      <c r="F124" s="519"/>
      <c r="G124" s="393"/>
      <c r="H124" s="519"/>
      <c r="I124" s="321"/>
      <c r="J124" s="395"/>
      <c r="K124" s="396"/>
      <c r="L124" s="397"/>
      <c r="M124" s="310"/>
      <c r="N124" s="400"/>
      <c r="O124" s="398" t="s">
        <v>278</v>
      </c>
      <c r="P124" s="399" t="s">
        <v>77</v>
      </c>
      <c r="Q124" s="317"/>
      <c r="R124" s="308"/>
      <c r="S124" s="308"/>
      <c r="T124" s="317"/>
      <c r="U124" s="324" t="str">
        <f>IF(ISERROR(VLOOKUP($T124, 'Reference data'!$J$2:$K$139, 2, FALSE)),"-",VLOOKUP($T124, 'Reference data'!$J$2:$K$139, 2, FALSE))</f>
        <v>-</v>
      </c>
      <c r="V124" s="308"/>
      <c r="W124" s="308"/>
      <c r="X124" s="312"/>
      <c r="Y124" s="313"/>
      <c r="Z124" s="69"/>
      <c r="AA124" s="341"/>
      <c r="AB124" s="82"/>
      <c r="AC124" s="71"/>
      <c r="AD124" s="319"/>
      <c r="AE124" s="226" t="s">
        <v>278</v>
      </c>
      <c r="AF124" s="230" t="s">
        <v>77</v>
      </c>
      <c r="AG124" s="322"/>
    </row>
    <row r="125" spans="2:33" s="287" customFormat="1" ht="13" x14ac:dyDescent="0.3">
      <c r="B125" s="326" t="str">
        <f>IF(C125="","Skip",IF(AND(Validator!G119=TRUE,Validator!G369=TRUE,Validator!G619=TRUE,Validator!G869=TRUE,Validator!G1119=TRUE,Validator!G1369=TRUE),"Valid","Invalid"))</f>
        <v>Skip</v>
      </c>
      <c r="C125" s="69"/>
      <c r="D125" s="389"/>
      <c r="E125" s="390"/>
      <c r="F125" s="519"/>
      <c r="G125" s="393"/>
      <c r="H125" s="519"/>
      <c r="I125" s="321"/>
      <c r="J125" s="395"/>
      <c r="K125" s="396"/>
      <c r="L125" s="397"/>
      <c r="M125" s="310"/>
      <c r="N125" s="400"/>
      <c r="O125" s="398" t="s">
        <v>278</v>
      </c>
      <c r="P125" s="399" t="s">
        <v>77</v>
      </c>
      <c r="Q125" s="317"/>
      <c r="R125" s="308"/>
      <c r="S125" s="308"/>
      <c r="T125" s="317"/>
      <c r="U125" s="324" t="str">
        <f>IF(ISERROR(VLOOKUP($T125, 'Reference data'!$J$2:$K$139, 2, FALSE)),"-",VLOOKUP($T125, 'Reference data'!$J$2:$K$139, 2, FALSE))</f>
        <v>-</v>
      </c>
      <c r="V125" s="308"/>
      <c r="W125" s="308"/>
      <c r="X125" s="312"/>
      <c r="Y125" s="313"/>
      <c r="Z125" s="69"/>
      <c r="AA125" s="341"/>
      <c r="AB125" s="82"/>
      <c r="AC125" s="71"/>
      <c r="AD125" s="319"/>
      <c r="AE125" s="226" t="s">
        <v>278</v>
      </c>
      <c r="AF125" s="230" t="s">
        <v>77</v>
      </c>
      <c r="AG125" s="322"/>
    </row>
    <row r="126" spans="2:33" s="287" customFormat="1" ht="13" x14ac:dyDescent="0.3">
      <c r="B126" s="326" t="str">
        <f>IF(C126="","Skip",IF(AND(Validator!G120=TRUE,Validator!G370=TRUE,Validator!G620=TRUE,Validator!G870=TRUE,Validator!G1120=TRUE,Validator!G1370=TRUE),"Valid","Invalid"))</f>
        <v>Skip</v>
      </c>
      <c r="C126" s="69"/>
      <c r="D126" s="389"/>
      <c r="E126" s="390"/>
      <c r="F126" s="519"/>
      <c r="G126" s="393"/>
      <c r="H126" s="519"/>
      <c r="I126" s="321"/>
      <c r="J126" s="395"/>
      <c r="K126" s="396"/>
      <c r="L126" s="397"/>
      <c r="M126" s="310"/>
      <c r="N126" s="400"/>
      <c r="O126" s="398" t="s">
        <v>278</v>
      </c>
      <c r="P126" s="399" t="s">
        <v>77</v>
      </c>
      <c r="Q126" s="317"/>
      <c r="R126" s="308"/>
      <c r="S126" s="308"/>
      <c r="T126" s="317"/>
      <c r="U126" s="324" t="str">
        <f>IF(ISERROR(VLOOKUP($T126, 'Reference data'!$J$2:$K$139, 2, FALSE)),"-",VLOOKUP($T126, 'Reference data'!$J$2:$K$139, 2, FALSE))</f>
        <v>-</v>
      </c>
      <c r="V126" s="308"/>
      <c r="W126" s="308"/>
      <c r="X126" s="312"/>
      <c r="Y126" s="313"/>
      <c r="Z126" s="69"/>
      <c r="AA126" s="341"/>
      <c r="AB126" s="82"/>
      <c r="AC126" s="71"/>
      <c r="AD126" s="319"/>
      <c r="AE126" s="226" t="s">
        <v>278</v>
      </c>
      <c r="AF126" s="230" t="s">
        <v>77</v>
      </c>
      <c r="AG126" s="322"/>
    </row>
    <row r="127" spans="2:33" s="287" customFormat="1" ht="13" x14ac:dyDescent="0.3">
      <c r="B127" s="326" t="str">
        <f>IF(C127="","Skip",IF(AND(Validator!G121=TRUE,Validator!G371=TRUE,Validator!G621=TRUE,Validator!G871=TRUE,Validator!G1121=TRUE,Validator!G1371=TRUE),"Valid","Invalid"))</f>
        <v>Skip</v>
      </c>
      <c r="C127" s="69"/>
      <c r="D127" s="389"/>
      <c r="E127" s="390"/>
      <c r="F127" s="519"/>
      <c r="G127" s="393"/>
      <c r="H127" s="519"/>
      <c r="I127" s="321"/>
      <c r="J127" s="395"/>
      <c r="K127" s="396"/>
      <c r="L127" s="397"/>
      <c r="M127" s="310"/>
      <c r="N127" s="400"/>
      <c r="O127" s="398" t="s">
        <v>278</v>
      </c>
      <c r="P127" s="399" t="s">
        <v>77</v>
      </c>
      <c r="Q127" s="317"/>
      <c r="R127" s="308"/>
      <c r="S127" s="308"/>
      <c r="T127" s="317"/>
      <c r="U127" s="324" t="str">
        <f>IF(ISERROR(VLOOKUP($T127, 'Reference data'!$J$2:$K$139, 2, FALSE)),"-",VLOOKUP($T127, 'Reference data'!$J$2:$K$139, 2, FALSE))</f>
        <v>-</v>
      </c>
      <c r="V127" s="308"/>
      <c r="W127" s="308"/>
      <c r="X127" s="312"/>
      <c r="Y127" s="313"/>
      <c r="Z127" s="69"/>
      <c r="AA127" s="341"/>
      <c r="AB127" s="82"/>
      <c r="AC127" s="71"/>
      <c r="AD127" s="319"/>
      <c r="AE127" s="226" t="s">
        <v>278</v>
      </c>
      <c r="AF127" s="230" t="s">
        <v>77</v>
      </c>
      <c r="AG127" s="322"/>
    </row>
    <row r="128" spans="2:33" s="287" customFormat="1" ht="13" x14ac:dyDescent="0.3">
      <c r="B128" s="326" t="str">
        <f>IF(C128="","Skip",IF(AND(Validator!G122=TRUE,Validator!G372=TRUE,Validator!G622=TRUE,Validator!G872=TRUE,Validator!G1122=TRUE,Validator!G1372=TRUE),"Valid","Invalid"))</f>
        <v>Skip</v>
      </c>
      <c r="C128" s="69"/>
      <c r="D128" s="389"/>
      <c r="E128" s="390"/>
      <c r="F128" s="519"/>
      <c r="G128" s="393"/>
      <c r="H128" s="519"/>
      <c r="I128" s="321"/>
      <c r="J128" s="395"/>
      <c r="K128" s="396"/>
      <c r="L128" s="397"/>
      <c r="M128" s="310"/>
      <c r="N128" s="400"/>
      <c r="O128" s="398" t="s">
        <v>278</v>
      </c>
      <c r="P128" s="399" t="s">
        <v>77</v>
      </c>
      <c r="Q128" s="317"/>
      <c r="R128" s="308"/>
      <c r="S128" s="308"/>
      <c r="T128" s="317"/>
      <c r="U128" s="324" t="str">
        <f>IF(ISERROR(VLOOKUP($T128, 'Reference data'!$J$2:$K$139, 2, FALSE)),"-",VLOOKUP($T128, 'Reference data'!$J$2:$K$139, 2, FALSE))</f>
        <v>-</v>
      </c>
      <c r="V128" s="308"/>
      <c r="W128" s="308"/>
      <c r="X128" s="312"/>
      <c r="Y128" s="313"/>
      <c r="Z128" s="69"/>
      <c r="AA128" s="341"/>
      <c r="AB128" s="82"/>
      <c r="AC128" s="71"/>
      <c r="AD128" s="319"/>
      <c r="AE128" s="226" t="s">
        <v>278</v>
      </c>
      <c r="AF128" s="230" t="s">
        <v>77</v>
      </c>
      <c r="AG128" s="322"/>
    </row>
    <row r="129" spans="2:33" s="287" customFormat="1" ht="13" x14ac:dyDescent="0.3">
      <c r="B129" s="326" t="str">
        <f>IF(C129="","Skip",IF(AND(Validator!G123=TRUE,Validator!G373=TRUE,Validator!G623=TRUE,Validator!G873=TRUE,Validator!G1123=TRUE,Validator!G1373=TRUE),"Valid","Invalid"))</f>
        <v>Skip</v>
      </c>
      <c r="C129" s="69"/>
      <c r="D129" s="389"/>
      <c r="E129" s="390"/>
      <c r="F129" s="519"/>
      <c r="G129" s="393"/>
      <c r="H129" s="519"/>
      <c r="I129" s="321"/>
      <c r="J129" s="395"/>
      <c r="K129" s="396"/>
      <c r="L129" s="397"/>
      <c r="M129" s="310"/>
      <c r="N129" s="400"/>
      <c r="O129" s="398" t="s">
        <v>278</v>
      </c>
      <c r="P129" s="399" t="s">
        <v>77</v>
      </c>
      <c r="Q129" s="317"/>
      <c r="R129" s="308"/>
      <c r="S129" s="308"/>
      <c r="T129" s="317"/>
      <c r="U129" s="324" t="str">
        <f>IF(ISERROR(VLOOKUP($T129, 'Reference data'!$J$2:$K$139, 2, FALSE)),"-",VLOOKUP($T129, 'Reference data'!$J$2:$K$139, 2, FALSE))</f>
        <v>-</v>
      </c>
      <c r="V129" s="308"/>
      <c r="W129" s="308"/>
      <c r="X129" s="312"/>
      <c r="Y129" s="313"/>
      <c r="Z129" s="69"/>
      <c r="AA129" s="341"/>
      <c r="AB129" s="82"/>
      <c r="AC129" s="71"/>
      <c r="AD129" s="319"/>
      <c r="AE129" s="226" t="s">
        <v>278</v>
      </c>
      <c r="AF129" s="230" t="s">
        <v>77</v>
      </c>
      <c r="AG129" s="322"/>
    </row>
    <row r="130" spans="2:33" s="287" customFormat="1" ht="13" x14ac:dyDescent="0.3">
      <c r="B130" s="326" t="str">
        <f>IF(C130="","Skip",IF(AND(Validator!G124=TRUE,Validator!G374=TRUE,Validator!G624=TRUE,Validator!G874=TRUE,Validator!G1124=TRUE,Validator!G1374=TRUE),"Valid","Invalid"))</f>
        <v>Skip</v>
      </c>
      <c r="C130" s="69"/>
      <c r="D130" s="389"/>
      <c r="E130" s="390"/>
      <c r="F130" s="519"/>
      <c r="G130" s="393"/>
      <c r="H130" s="519"/>
      <c r="I130" s="321"/>
      <c r="J130" s="395"/>
      <c r="K130" s="396"/>
      <c r="L130" s="397"/>
      <c r="M130" s="310"/>
      <c r="N130" s="400"/>
      <c r="O130" s="398" t="s">
        <v>278</v>
      </c>
      <c r="P130" s="399" t="s">
        <v>77</v>
      </c>
      <c r="Q130" s="317"/>
      <c r="R130" s="308"/>
      <c r="S130" s="308"/>
      <c r="T130" s="317"/>
      <c r="U130" s="324" t="str">
        <f>IF(ISERROR(VLOOKUP($T130, 'Reference data'!$J$2:$K$139, 2, FALSE)),"-",VLOOKUP($T130, 'Reference data'!$J$2:$K$139, 2, FALSE))</f>
        <v>-</v>
      </c>
      <c r="V130" s="308"/>
      <c r="W130" s="308"/>
      <c r="X130" s="312"/>
      <c r="Y130" s="313"/>
      <c r="Z130" s="69"/>
      <c r="AA130" s="341"/>
      <c r="AB130" s="82"/>
      <c r="AC130" s="71"/>
      <c r="AD130" s="319"/>
      <c r="AE130" s="226" t="s">
        <v>278</v>
      </c>
      <c r="AF130" s="230" t="s">
        <v>77</v>
      </c>
      <c r="AG130" s="322"/>
    </row>
    <row r="131" spans="2:33" s="287" customFormat="1" ht="13" x14ac:dyDescent="0.3">
      <c r="B131" s="326" t="str">
        <f>IF(C131="","Skip",IF(AND(Validator!G125=TRUE,Validator!G375=TRUE,Validator!G625=TRUE,Validator!G875=TRUE,Validator!G1125=TRUE,Validator!G1375=TRUE),"Valid","Invalid"))</f>
        <v>Skip</v>
      </c>
      <c r="C131" s="69"/>
      <c r="D131" s="389"/>
      <c r="E131" s="390"/>
      <c r="F131" s="519"/>
      <c r="G131" s="393"/>
      <c r="H131" s="519"/>
      <c r="I131" s="321"/>
      <c r="J131" s="395"/>
      <c r="K131" s="396"/>
      <c r="L131" s="397"/>
      <c r="M131" s="310"/>
      <c r="N131" s="400"/>
      <c r="O131" s="398" t="s">
        <v>278</v>
      </c>
      <c r="P131" s="399" t="s">
        <v>77</v>
      </c>
      <c r="Q131" s="317"/>
      <c r="R131" s="308"/>
      <c r="S131" s="308"/>
      <c r="T131" s="317"/>
      <c r="U131" s="324" t="str">
        <f>IF(ISERROR(VLOOKUP($T131, 'Reference data'!$J$2:$K$139, 2, FALSE)),"-",VLOOKUP($T131, 'Reference data'!$J$2:$K$139, 2, FALSE))</f>
        <v>-</v>
      </c>
      <c r="V131" s="308"/>
      <c r="W131" s="308"/>
      <c r="X131" s="312"/>
      <c r="Y131" s="313"/>
      <c r="Z131" s="69"/>
      <c r="AA131" s="341"/>
      <c r="AB131" s="82"/>
      <c r="AC131" s="71"/>
      <c r="AD131" s="319"/>
      <c r="AE131" s="226" t="s">
        <v>278</v>
      </c>
      <c r="AF131" s="230" t="s">
        <v>77</v>
      </c>
      <c r="AG131" s="322"/>
    </row>
    <row r="132" spans="2:33" s="287" customFormat="1" ht="13" x14ac:dyDescent="0.3">
      <c r="B132" s="326" t="str">
        <f>IF(C132="","Skip",IF(AND(Validator!G126=TRUE,Validator!G376=TRUE,Validator!G626=TRUE,Validator!G876=TRUE,Validator!G1126=TRUE,Validator!G1376=TRUE),"Valid","Invalid"))</f>
        <v>Skip</v>
      </c>
      <c r="C132" s="69"/>
      <c r="D132" s="389"/>
      <c r="E132" s="390"/>
      <c r="F132" s="519"/>
      <c r="G132" s="393"/>
      <c r="H132" s="519"/>
      <c r="I132" s="321"/>
      <c r="J132" s="395"/>
      <c r="K132" s="396"/>
      <c r="L132" s="397"/>
      <c r="M132" s="310"/>
      <c r="N132" s="400"/>
      <c r="O132" s="398" t="s">
        <v>278</v>
      </c>
      <c r="P132" s="399" t="s">
        <v>77</v>
      </c>
      <c r="Q132" s="317"/>
      <c r="R132" s="308"/>
      <c r="S132" s="308"/>
      <c r="T132" s="317"/>
      <c r="U132" s="324" t="str">
        <f>IF(ISERROR(VLOOKUP($T132, 'Reference data'!$J$2:$K$139, 2, FALSE)),"-",VLOOKUP($T132, 'Reference data'!$J$2:$K$139, 2, FALSE))</f>
        <v>-</v>
      </c>
      <c r="V132" s="308"/>
      <c r="W132" s="308"/>
      <c r="X132" s="312"/>
      <c r="Y132" s="313"/>
      <c r="Z132" s="69"/>
      <c r="AA132" s="341"/>
      <c r="AB132" s="82"/>
      <c r="AC132" s="71"/>
      <c r="AD132" s="319"/>
      <c r="AE132" s="226" t="s">
        <v>278</v>
      </c>
      <c r="AF132" s="230" t="s">
        <v>77</v>
      </c>
      <c r="AG132" s="322"/>
    </row>
    <row r="133" spans="2:33" s="287" customFormat="1" ht="13" x14ac:dyDescent="0.3">
      <c r="B133" s="326" t="str">
        <f>IF(C133="","Skip",IF(AND(Validator!G127=TRUE,Validator!G377=TRUE,Validator!G627=TRUE,Validator!G877=TRUE,Validator!G1127=TRUE,Validator!G1377=TRUE),"Valid","Invalid"))</f>
        <v>Skip</v>
      </c>
      <c r="C133" s="69"/>
      <c r="D133" s="389"/>
      <c r="E133" s="390"/>
      <c r="F133" s="519"/>
      <c r="G133" s="393"/>
      <c r="H133" s="519"/>
      <c r="I133" s="321"/>
      <c r="J133" s="395"/>
      <c r="K133" s="396"/>
      <c r="L133" s="397"/>
      <c r="M133" s="310"/>
      <c r="N133" s="400"/>
      <c r="O133" s="398" t="s">
        <v>278</v>
      </c>
      <c r="P133" s="399" t="s">
        <v>77</v>
      </c>
      <c r="Q133" s="317"/>
      <c r="R133" s="308"/>
      <c r="S133" s="308"/>
      <c r="T133" s="317"/>
      <c r="U133" s="324" t="str">
        <f>IF(ISERROR(VLOOKUP($T133, 'Reference data'!$J$2:$K$139, 2, FALSE)),"-",VLOOKUP($T133, 'Reference data'!$J$2:$K$139, 2, FALSE))</f>
        <v>-</v>
      </c>
      <c r="V133" s="308"/>
      <c r="W133" s="308"/>
      <c r="X133" s="312"/>
      <c r="Y133" s="313"/>
      <c r="Z133" s="69"/>
      <c r="AA133" s="341"/>
      <c r="AB133" s="82"/>
      <c r="AC133" s="71"/>
      <c r="AD133" s="319"/>
      <c r="AE133" s="226" t="s">
        <v>278</v>
      </c>
      <c r="AF133" s="230" t="s">
        <v>77</v>
      </c>
      <c r="AG133" s="322"/>
    </row>
    <row r="134" spans="2:33" s="287" customFormat="1" ht="13" x14ac:dyDescent="0.3">
      <c r="B134" s="326" t="str">
        <f>IF(C134="","Skip",IF(AND(Validator!G128=TRUE,Validator!G378=TRUE,Validator!G628=TRUE,Validator!G878=TRUE,Validator!G1128=TRUE,Validator!G1378=TRUE),"Valid","Invalid"))</f>
        <v>Skip</v>
      </c>
      <c r="C134" s="69"/>
      <c r="D134" s="389"/>
      <c r="E134" s="390"/>
      <c r="F134" s="519"/>
      <c r="G134" s="393"/>
      <c r="H134" s="519"/>
      <c r="I134" s="321"/>
      <c r="J134" s="395"/>
      <c r="K134" s="396"/>
      <c r="L134" s="397"/>
      <c r="M134" s="310"/>
      <c r="N134" s="400"/>
      <c r="O134" s="398" t="s">
        <v>278</v>
      </c>
      <c r="P134" s="399" t="s">
        <v>77</v>
      </c>
      <c r="Q134" s="317"/>
      <c r="R134" s="308"/>
      <c r="S134" s="308"/>
      <c r="T134" s="317"/>
      <c r="U134" s="324" t="str">
        <f>IF(ISERROR(VLOOKUP($T134, 'Reference data'!$J$2:$K$139, 2, FALSE)),"-",VLOOKUP($T134, 'Reference data'!$J$2:$K$139, 2, FALSE))</f>
        <v>-</v>
      </c>
      <c r="V134" s="308"/>
      <c r="W134" s="308"/>
      <c r="X134" s="312"/>
      <c r="Y134" s="313"/>
      <c r="Z134" s="69"/>
      <c r="AA134" s="341"/>
      <c r="AB134" s="82"/>
      <c r="AC134" s="71"/>
      <c r="AD134" s="319"/>
      <c r="AE134" s="226" t="s">
        <v>278</v>
      </c>
      <c r="AF134" s="230" t="s">
        <v>77</v>
      </c>
      <c r="AG134" s="322"/>
    </row>
    <row r="135" spans="2:33" s="287" customFormat="1" ht="13" x14ac:dyDescent="0.3">
      <c r="B135" s="326" t="str">
        <f>IF(C135="","Skip",IF(AND(Validator!G129=TRUE,Validator!G379=TRUE,Validator!G629=TRUE,Validator!G879=TRUE,Validator!G1129=TRUE,Validator!G1379=TRUE),"Valid","Invalid"))</f>
        <v>Skip</v>
      </c>
      <c r="C135" s="69"/>
      <c r="D135" s="389"/>
      <c r="E135" s="390"/>
      <c r="F135" s="519"/>
      <c r="G135" s="393"/>
      <c r="H135" s="519"/>
      <c r="I135" s="321"/>
      <c r="J135" s="395"/>
      <c r="K135" s="396"/>
      <c r="L135" s="397"/>
      <c r="M135" s="310"/>
      <c r="N135" s="400"/>
      <c r="O135" s="398" t="s">
        <v>278</v>
      </c>
      <c r="P135" s="399" t="s">
        <v>77</v>
      </c>
      <c r="Q135" s="317"/>
      <c r="R135" s="308"/>
      <c r="S135" s="308"/>
      <c r="T135" s="317"/>
      <c r="U135" s="324" t="str">
        <f>IF(ISERROR(VLOOKUP($T135, 'Reference data'!$J$2:$K$139, 2, FALSE)),"-",VLOOKUP($T135, 'Reference data'!$J$2:$K$139, 2, FALSE))</f>
        <v>-</v>
      </c>
      <c r="V135" s="308"/>
      <c r="W135" s="308"/>
      <c r="X135" s="312"/>
      <c r="Y135" s="313"/>
      <c r="Z135" s="69"/>
      <c r="AA135" s="341"/>
      <c r="AB135" s="82"/>
      <c r="AC135" s="71"/>
      <c r="AD135" s="319"/>
      <c r="AE135" s="226" t="s">
        <v>278</v>
      </c>
      <c r="AF135" s="230" t="s">
        <v>77</v>
      </c>
      <c r="AG135" s="322"/>
    </row>
    <row r="136" spans="2:33" s="287" customFormat="1" ht="13" x14ac:dyDescent="0.3">
      <c r="B136" s="326" t="str">
        <f>IF(C136="","Skip",IF(AND(Validator!G130=TRUE,Validator!G380=TRUE,Validator!G630=TRUE,Validator!G880=TRUE,Validator!G1130=TRUE,Validator!G1380=TRUE),"Valid","Invalid"))</f>
        <v>Skip</v>
      </c>
      <c r="C136" s="69"/>
      <c r="D136" s="389"/>
      <c r="E136" s="390"/>
      <c r="F136" s="519"/>
      <c r="G136" s="393"/>
      <c r="H136" s="519"/>
      <c r="I136" s="321"/>
      <c r="J136" s="395"/>
      <c r="K136" s="396"/>
      <c r="L136" s="397"/>
      <c r="M136" s="310"/>
      <c r="N136" s="400"/>
      <c r="O136" s="398" t="s">
        <v>278</v>
      </c>
      <c r="P136" s="399" t="s">
        <v>77</v>
      </c>
      <c r="Q136" s="317"/>
      <c r="R136" s="308"/>
      <c r="S136" s="308"/>
      <c r="T136" s="317"/>
      <c r="U136" s="324" t="str">
        <f>IF(ISERROR(VLOOKUP($T136, 'Reference data'!$J$2:$K$139, 2, FALSE)),"-",VLOOKUP($T136, 'Reference data'!$J$2:$K$139, 2, FALSE))</f>
        <v>-</v>
      </c>
      <c r="V136" s="308"/>
      <c r="W136" s="308"/>
      <c r="X136" s="312"/>
      <c r="Y136" s="313"/>
      <c r="Z136" s="69"/>
      <c r="AA136" s="341"/>
      <c r="AB136" s="82"/>
      <c r="AC136" s="71"/>
      <c r="AD136" s="319"/>
      <c r="AE136" s="226" t="s">
        <v>278</v>
      </c>
      <c r="AF136" s="230" t="s">
        <v>77</v>
      </c>
      <c r="AG136" s="322"/>
    </row>
    <row r="137" spans="2:33" s="287" customFormat="1" ht="13" x14ac:dyDescent="0.3">
      <c r="B137" s="326" t="str">
        <f>IF(C137="","Skip",IF(AND(Validator!G131=TRUE,Validator!G381=TRUE,Validator!G631=TRUE,Validator!G881=TRUE,Validator!G1131=TRUE,Validator!G1381=TRUE),"Valid","Invalid"))</f>
        <v>Skip</v>
      </c>
      <c r="C137" s="69"/>
      <c r="D137" s="389"/>
      <c r="E137" s="390"/>
      <c r="F137" s="519"/>
      <c r="G137" s="393"/>
      <c r="H137" s="519"/>
      <c r="I137" s="321"/>
      <c r="J137" s="395"/>
      <c r="K137" s="396"/>
      <c r="L137" s="397"/>
      <c r="M137" s="310"/>
      <c r="N137" s="400"/>
      <c r="O137" s="398" t="s">
        <v>278</v>
      </c>
      <c r="P137" s="399" t="s">
        <v>77</v>
      </c>
      <c r="Q137" s="317"/>
      <c r="R137" s="308"/>
      <c r="S137" s="308"/>
      <c r="T137" s="317"/>
      <c r="U137" s="324" t="str">
        <f>IF(ISERROR(VLOOKUP($T137, 'Reference data'!$J$2:$K$139, 2, FALSE)),"-",VLOOKUP($T137, 'Reference data'!$J$2:$K$139, 2, FALSE))</f>
        <v>-</v>
      </c>
      <c r="V137" s="308"/>
      <c r="W137" s="308"/>
      <c r="X137" s="312"/>
      <c r="Y137" s="313"/>
      <c r="Z137" s="69"/>
      <c r="AA137" s="341"/>
      <c r="AB137" s="82"/>
      <c r="AC137" s="71"/>
      <c r="AD137" s="319"/>
      <c r="AE137" s="226" t="s">
        <v>278</v>
      </c>
      <c r="AF137" s="230" t="s">
        <v>77</v>
      </c>
      <c r="AG137" s="322"/>
    </row>
    <row r="138" spans="2:33" s="287" customFormat="1" ht="13" x14ac:dyDescent="0.3">
      <c r="B138" s="326" t="str">
        <f>IF(C138="","Skip",IF(AND(Validator!G132=TRUE,Validator!G382=TRUE,Validator!G632=TRUE,Validator!G882=TRUE,Validator!G1132=TRUE,Validator!G1382=TRUE),"Valid","Invalid"))</f>
        <v>Skip</v>
      </c>
      <c r="C138" s="69"/>
      <c r="D138" s="389"/>
      <c r="E138" s="390"/>
      <c r="F138" s="519"/>
      <c r="G138" s="393"/>
      <c r="H138" s="519"/>
      <c r="I138" s="321"/>
      <c r="J138" s="395"/>
      <c r="K138" s="396"/>
      <c r="L138" s="397"/>
      <c r="M138" s="310"/>
      <c r="N138" s="400"/>
      <c r="O138" s="398" t="s">
        <v>278</v>
      </c>
      <c r="P138" s="399" t="s">
        <v>77</v>
      </c>
      <c r="Q138" s="317"/>
      <c r="R138" s="308"/>
      <c r="S138" s="308"/>
      <c r="T138" s="317"/>
      <c r="U138" s="324" t="str">
        <f>IF(ISERROR(VLOOKUP($T138, 'Reference data'!$J$2:$K$139, 2, FALSE)),"-",VLOOKUP($T138, 'Reference data'!$J$2:$K$139, 2, FALSE))</f>
        <v>-</v>
      </c>
      <c r="V138" s="308"/>
      <c r="W138" s="308"/>
      <c r="X138" s="312"/>
      <c r="Y138" s="313"/>
      <c r="Z138" s="69"/>
      <c r="AA138" s="341"/>
      <c r="AB138" s="82"/>
      <c r="AC138" s="71"/>
      <c r="AD138" s="319"/>
      <c r="AE138" s="226" t="s">
        <v>278</v>
      </c>
      <c r="AF138" s="230" t="s">
        <v>77</v>
      </c>
      <c r="AG138" s="322"/>
    </row>
    <row r="139" spans="2:33" s="287" customFormat="1" ht="13" x14ac:dyDescent="0.3">
      <c r="B139" s="326" t="str">
        <f>IF(C139="","Skip",IF(AND(Validator!G133=TRUE,Validator!G383=TRUE,Validator!G633=TRUE,Validator!G883=TRUE,Validator!G1133=TRUE,Validator!G1383=TRUE),"Valid","Invalid"))</f>
        <v>Skip</v>
      </c>
      <c r="C139" s="69"/>
      <c r="D139" s="389"/>
      <c r="E139" s="390"/>
      <c r="F139" s="519"/>
      <c r="G139" s="393"/>
      <c r="H139" s="519"/>
      <c r="I139" s="321"/>
      <c r="J139" s="395"/>
      <c r="K139" s="396"/>
      <c r="L139" s="397"/>
      <c r="M139" s="310"/>
      <c r="N139" s="400"/>
      <c r="O139" s="398" t="s">
        <v>278</v>
      </c>
      <c r="P139" s="399" t="s">
        <v>77</v>
      </c>
      <c r="Q139" s="317"/>
      <c r="R139" s="308"/>
      <c r="S139" s="308"/>
      <c r="T139" s="317"/>
      <c r="U139" s="324" t="str">
        <f>IF(ISERROR(VLOOKUP($T139, 'Reference data'!$J$2:$K$139, 2, FALSE)),"-",VLOOKUP($T139, 'Reference data'!$J$2:$K$139, 2, FALSE))</f>
        <v>-</v>
      </c>
      <c r="V139" s="308"/>
      <c r="W139" s="308"/>
      <c r="X139" s="312"/>
      <c r="Y139" s="313"/>
      <c r="Z139" s="69"/>
      <c r="AA139" s="341"/>
      <c r="AB139" s="82"/>
      <c r="AC139" s="71"/>
      <c r="AD139" s="319"/>
      <c r="AE139" s="226" t="s">
        <v>278</v>
      </c>
      <c r="AF139" s="230" t="s">
        <v>77</v>
      </c>
      <c r="AG139" s="322"/>
    </row>
    <row r="140" spans="2:33" s="287" customFormat="1" ht="13" x14ac:dyDescent="0.3">
      <c r="B140" s="326" t="str">
        <f>IF(C140="","Skip",IF(AND(Validator!G134=TRUE,Validator!G384=TRUE,Validator!G634=TRUE,Validator!G884=TRUE,Validator!G1134=TRUE,Validator!G1384=TRUE),"Valid","Invalid"))</f>
        <v>Skip</v>
      </c>
      <c r="C140" s="69"/>
      <c r="D140" s="389"/>
      <c r="E140" s="390"/>
      <c r="F140" s="519"/>
      <c r="G140" s="393"/>
      <c r="H140" s="519"/>
      <c r="I140" s="321"/>
      <c r="J140" s="395"/>
      <c r="K140" s="396"/>
      <c r="L140" s="397"/>
      <c r="M140" s="310"/>
      <c r="N140" s="400"/>
      <c r="O140" s="398" t="s">
        <v>278</v>
      </c>
      <c r="P140" s="399" t="s">
        <v>77</v>
      </c>
      <c r="Q140" s="317"/>
      <c r="R140" s="308"/>
      <c r="S140" s="308"/>
      <c r="T140" s="317"/>
      <c r="U140" s="324" t="str">
        <f>IF(ISERROR(VLOOKUP($T140, 'Reference data'!$J$2:$K$139, 2, FALSE)),"-",VLOOKUP($T140, 'Reference data'!$J$2:$K$139, 2, FALSE))</f>
        <v>-</v>
      </c>
      <c r="V140" s="308"/>
      <c r="W140" s="308"/>
      <c r="X140" s="312"/>
      <c r="Y140" s="313"/>
      <c r="Z140" s="69"/>
      <c r="AA140" s="341"/>
      <c r="AB140" s="82"/>
      <c r="AC140" s="71"/>
      <c r="AD140" s="319"/>
      <c r="AE140" s="226" t="s">
        <v>278</v>
      </c>
      <c r="AF140" s="230" t="s">
        <v>77</v>
      </c>
      <c r="AG140" s="322"/>
    </row>
    <row r="141" spans="2:33" s="287" customFormat="1" ht="13" x14ac:dyDescent="0.3">
      <c r="B141" s="326" t="str">
        <f>IF(C141="","Skip",IF(AND(Validator!G135=TRUE,Validator!G385=TRUE,Validator!G635=TRUE,Validator!G885=TRUE,Validator!G1135=TRUE,Validator!G1385=TRUE),"Valid","Invalid"))</f>
        <v>Skip</v>
      </c>
      <c r="C141" s="69"/>
      <c r="D141" s="389"/>
      <c r="E141" s="390"/>
      <c r="F141" s="519"/>
      <c r="G141" s="393"/>
      <c r="H141" s="519"/>
      <c r="I141" s="321"/>
      <c r="J141" s="395"/>
      <c r="K141" s="396"/>
      <c r="L141" s="397"/>
      <c r="M141" s="310"/>
      <c r="N141" s="400"/>
      <c r="O141" s="398" t="s">
        <v>278</v>
      </c>
      <c r="P141" s="399" t="s">
        <v>77</v>
      </c>
      <c r="Q141" s="317"/>
      <c r="R141" s="308"/>
      <c r="S141" s="308"/>
      <c r="T141" s="317"/>
      <c r="U141" s="324" t="str">
        <f>IF(ISERROR(VLOOKUP($T141, 'Reference data'!$J$2:$K$139, 2, FALSE)),"-",VLOOKUP($T141, 'Reference data'!$J$2:$K$139, 2, FALSE))</f>
        <v>-</v>
      </c>
      <c r="V141" s="308"/>
      <c r="W141" s="308"/>
      <c r="X141" s="312"/>
      <c r="Y141" s="313"/>
      <c r="Z141" s="69"/>
      <c r="AA141" s="341"/>
      <c r="AB141" s="82"/>
      <c r="AC141" s="71"/>
      <c r="AD141" s="319"/>
      <c r="AE141" s="226" t="s">
        <v>278</v>
      </c>
      <c r="AF141" s="230" t="s">
        <v>77</v>
      </c>
      <c r="AG141" s="322"/>
    </row>
    <row r="142" spans="2:33" s="287" customFormat="1" ht="13" x14ac:dyDescent="0.3">
      <c r="B142" s="326" t="str">
        <f>IF(C142="","Skip",IF(AND(Validator!G136=TRUE,Validator!G386=TRUE,Validator!G636=TRUE,Validator!G886=TRUE,Validator!G1136=TRUE,Validator!G1386=TRUE),"Valid","Invalid"))</f>
        <v>Skip</v>
      </c>
      <c r="C142" s="69"/>
      <c r="D142" s="389"/>
      <c r="E142" s="390"/>
      <c r="F142" s="519"/>
      <c r="G142" s="393"/>
      <c r="H142" s="519"/>
      <c r="I142" s="321"/>
      <c r="J142" s="395"/>
      <c r="K142" s="396"/>
      <c r="L142" s="397"/>
      <c r="M142" s="310"/>
      <c r="N142" s="400"/>
      <c r="O142" s="398" t="s">
        <v>278</v>
      </c>
      <c r="P142" s="399" t="s">
        <v>77</v>
      </c>
      <c r="Q142" s="317"/>
      <c r="R142" s="308"/>
      <c r="S142" s="308"/>
      <c r="T142" s="317"/>
      <c r="U142" s="324" t="str">
        <f>IF(ISERROR(VLOOKUP($T142, 'Reference data'!$J$2:$K$139, 2, FALSE)),"-",VLOOKUP($T142, 'Reference data'!$J$2:$K$139, 2, FALSE))</f>
        <v>-</v>
      </c>
      <c r="V142" s="308"/>
      <c r="W142" s="308"/>
      <c r="X142" s="312"/>
      <c r="Y142" s="313"/>
      <c r="Z142" s="69"/>
      <c r="AA142" s="341"/>
      <c r="AB142" s="82"/>
      <c r="AC142" s="71"/>
      <c r="AD142" s="319"/>
      <c r="AE142" s="226" t="s">
        <v>278</v>
      </c>
      <c r="AF142" s="230" t="s">
        <v>77</v>
      </c>
      <c r="AG142" s="322"/>
    </row>
    <row r="143" spans="2:33" s="287" customFormat="1" ht="13" x14ac:dyDescent="0.3">
      <c r="B143" s="326" t="str">
        <f>IF(C143="","Skip",IF(AND(Validator!G137=TRUE,Validator!G387=TRUE,Validator!G637=TRUE,Validator!G887=TRUE,Validator!G1137=TRUE,Validator!G1387=TRUE),"Valid","Invalid"))</f>
        <v>Skip</v>
      </c>
      <c r="C143" s="69"/>
      <c r="D143" s="389"/>
      <c r="E143" s="390"/>
      <c r="F143" s="519"/>
      <c r="G143" s="393"/>
      <c r="H143" s="519"/>
      <c r="I143" s="321"/>
      <c r="J143" s="395"/>
      <c r="K143" s="396"/>
      <c r="L143" s="397"/>
      <c r="M143" s="310"/>
      <c r="N143" s="400"/>
      <c r="O143" s="398" t="s">
        <v>278</v>
      </c>
      <c r="P143" s="399" t="s">
        <v>77</v>
      </c>
      <c r="Q143" s="317"/>
      <c r="R143" s="308"/>
      <c r="S143" s="308"/>
      <c r="T143" s="317"/>
      <c r="U143" s="324" t="str">
        <f>IF(ISERROR(VLOOKUP($T143, 'Reference data'!$J$2:$K$139, 2, FALSE)),"-",VLOOKUP($T143, 'Reference data'!$J$2:$K$139, 2, FALSE))</f>
        <v>-</v>
      </c>
      <c r="V143" s="308"/>
      <c r="W143" s="308"/>
      <c r="X143" s="312"/>
      <c r="Y143" s="313"/>
      <c r="Z143" s="69"/>
      <c r="AA143" s="341"/>
      <c r="AB143" s="82"/>
      <c r="AC143" s="71"/>
      <c r="AD143" s="319"/>
      <c r="AE143" s="226" t="s">
        <v>278</v>
      </c>
      <c r="AF143" s="230" t="s">
        <v>77</v>
      </c>
      <c r="AG143" s="322"/>
    </row>
    <row r="144" spans="2:33" s="287" customFormat="1" ht="13" x14ac:dyDescent="0.3">
      <c r="B144" s="326" t="str">
        <f>IF(C144="","Skip",IF(AND(Validator!G138=TRUE,Validator!G388=TRUE,Validator!G638=TRUE,Validator!G888=TRUE,Validator!G1138=TRUE,Validator!G1388=TRUE),"Valid","Invalid"))</f>
        <v>Skip</v>
      </c>
      <c r="C144" s="69"/>
      <c r="D144" s="389"/>
      <c r="E144" s="390"/>
      <c r="F144" s="519"/>
      <c r="G144" s="393"/>
      <c r="H144" s="519"/>
      <c r="I144" s="321"/>
      <c r="J144" s="395"/>
      <c r="K144" s="396"/>
      <c r="L144" s="397"/>
      <c r="M144" s="310"/>
      <c r="N144" s="400"/>
      <c r="O144" s="398" t="s">
        <v>278</v>
      </c>
      <c r="P144" s="399" t="s">
        <v>77</v>
      </c>
      <c r="Q144" s="317"/>
      <c r="R144" s="308"/>
      <c r="S144" s="308"/>
      <c r="T144" s="317"/>
      <c r="U144" s="324" t="str">
        <f>IF(ISERROR(VLOOKUP($T144, 'Reference data'!$J$2:$K$139, 2, FALSE)),"-",VLOOKUP($T144, 'Reference data'!$J$2:$K$139, 2, FALSE))</f>
        <v>-</v>
      </c>
      <c r="V144" s="308"/>
      <c r="W144" s="308"/>
      <c r="X144" s="312"/>
      <c r="Y144" s="313"/>
      <c r="Z144" s="69"/>
      <c r="AA144" s="341"/>
      <c r="AB144" s="82"/>
      <c r="AC144" s="71"/>
      <c r="AD144" s="319"/>
      <c r="AE144" s="226" t="s">
        <v>278</v>
      </c>
      <c r="AF144" s="230" t="s">
        <v>77</v>
      </c>
      <c r="AG144" s="322"/>
    </row>
    <row r="145" spans="2:33" s="287" customFormat="1" ht="13" x14ac:dyDescent="0.3">
      <c r="B145" s="326" t="str">
        <f>IF(C145="","Skip",IF(AND(Validator!G139=TRUE,Validator!G389=TRUE,Validator!G639=TRUE,Validator!G889=TRUE,Validator!G1139=TRUE,Validator!G1389=TRUE),"Valid","Invalid"))</f>
        <v>Skip</v>
      </c>
      <c r="C145" s="69"/>
      <c r="D145" s="389"/>
      <c r="E145" s="390"/>
      <c r="F145" s="519"/>
      <c r="G145" s="393"/>
      <c r="H145" s="519"/>
      <c r="I145" s="321"/>
      <c r="J145" s="395"/>
      <c r="K145" s="396"/>
      <c r="L145" s="397"/>
      <c r="M145" s="310"/>
      <c r="N145" s="400"/>
      <c r="O145" s="398" t="s">
        <v>278</v>
      </c>
      <c r="P145" s="399" t="s">
        <v>77</v>
      </c>
      <c r="Q145" s="317"/>
      <c r="R145" s="308"/>
      <c r="S145" s="308"/>
      <c r="T145" s="317"/>
      <c r="U145" s="324" t="str">
        <f>IF(ISERROR(VLOOKUP($T145, 'Reference data'!$J$2:$K$139, 2, FALSE)),"-",VLOOKUP($T145, 'Reference data'!$J$2:$K$139, 2, FALSE))</f>
        <v>-</v>
      </c>
      <c r="V145" s="308"/>
      <c r="W145" s="308"/>
      <c r="X145" s="312"/>
      <c r="Y145" s="313"/>
      <c r="Z145" s="69"/>
      <c r="AA145" s="341"/>
      <c r="AB145" s="82"/>
      <c r="AC145" s="71"/>
      <c r="AD145" s="319"/>
      <c r="AE145" s="226" t="s">
        <v>278</v>
      </c>
      <c r="AF145" s="230" t="s">
        <v>77</v>
      </c>
      <c r="AG145" s="322"/>
    </row>
    <row r="146" spans="2:33" s="287" customFormat="1" ht="13" x14ac:dyDescent="0.3">
      <c r="B146" s="326" t="str">
        <f>IF(C146="","Skip",IF(AND(Validator!G140=TRUE,Validator!G390=TRUE,Validator!G640=TRUE,Validator!G890=TRUE,Validator!G1140=TRUE,Validator!G1390=TRUE),"Valid","Invalid"))</f>
        <v>Skip</v>
      </c>
      <c r="C146" s="69"/>
      <c r="D146" s="389"/>
      <c r="E146" s="390"/>
      <c r="F146" s="519"/>
      <c r="G146" s="393"/>
      <c r="H146" s="519"/>
      <c r="I146" s="321"/>
      <c r="J146" s="395"/>
      <c r="K146" s="396"/>
      <c r="L146" s="397"/>
      <c r="M146" s="310"/>
      <c r="N146" s="400"/>
      <c r="O146" s="398" t="s">
        <v>278</v>
      </c>
      <c r="P146" s="399" t="s">
        <v>77</v>
      </c>
      <c r="Q146" s="317"/>
      <c r="R146" s="308"/>
      <c r="S146" s="308"/>
      <c r="T146" s="317"/>
      <c r="U146" s="324" t="str">
        <f>IF(ISERROR(VLOOKUP($T146, 'Reference data'!$J$2:$K$139, 2, FALSE)),"-",VLOOKUP($T146, 'Reference data'!$J$2:$K$139, 2, FALSE))</f>
        <v>-</v>
      </c>
      <c r="V146" s="308"/>
      <c r="W146" s="308"/>
      <c r="X146" s="312"/>
      <c r="Y146" s="313"/>
      <c r="Z146" s="69"/>
      <c r="AA146" s="341"/>
      <c r="AB146" s="82"/>
      <c r="AC146" s="71"/>
      <c r="AD146" s="319"/>
      <c r="AE146" s="226" t="s">
        <v>278</v>
      </c>
      <c r="AF146" s="230" t="s">
        <v>77</v>
      </c>
      <c r="AG146" s="322"/>
    </row>
    <row r="147" spans="2:33" s="287" customFormat="1" ht="13" x14ac:dyDescent="0.3">
      <c r="B147" s="326" t="str">
        <f>IF(C147="","Skip",IF(AND(Validator!G141=TRUE,Validator!G391=TRUE,Validator!G641=TRUE,Validator!G891=TRUE,Validator!G1141=TRUE,Validator!G1391=TRUE),"Valid","Invalid"))</f>
        <v>Skip</v>
      </c>
      <c r="C147" s="69"/>
      <c r="D147" s="389"/>
      <c r="E147" s="390"/>
      <c r="F147" s="519"/>
      <c r="G147" s="393"/>
      <c r="H147" s="519"/>
      <c r="I147" s="321"/>
      <c r="J147" s="395"/>
      <c r="K147" s="396"/>
      <c r="L147" s="397"/>
      <c r="M147" s="310"/>
      <c r="N147" s="400"/>
      <c r="O147" s="398" t="s">
        <v>278</v>
      </c>
      <c r="P147" s="399" t="s">
        <v>77</v>
      </c>
      <c r="Q147" s="317"/>
      <c r="R147" s="308"/>
      <c r="S147" s="308"/>
      <c r="T147" s="317"/>
      <c r="U147" s="324" t="str">
        <f>IF(ISERROR(VLOOKUP($T147, 'Reference data'!$J$2:$K$139, 2, FALSE)),"-",VLOOKUP($T147, 'Reference data'!$J$2:$K$139, 2, FALSE))</f>
        <v>-</v>
      </c>
      <c r="V147" s="308"/>
      <c r="W147" s="308"/>
      <c r="X147" s="312"/>
      <c r="Y147" s="313"/>
      <c r="Z147" s="69"/>
      <c r="AA147" s="341"/>
      <c r="AB147" s="82"/>
      <c r="AC147" s="71"/>
      <c r="AD147" s="319"/>
      <c r="AE147" s="226" t="s">
        <v>278</v>
      </c>
      <c r="AF147" s="230" t="s">
        <v>77</v>
      </c>
      <c r="AG147" s="322"/>
    </row>
    <row r="148" spans="2:33" s="287" customFormat="1" ht="13" x14ac:dyDescent="0.3">
      <c r="B148" s="326" t="str">
        <f>IF(C148="","Skip",IF(AND(Validator!G142=TRUE,Validator!G392=TRUE,Validator!G642=TRUE,Validator!G892=TRUE,Validator!G1142=TRUE,Validator!G1392=TRUE),"Valid","Invalid"))</f>
        <v>Skip</v>
      </c>
      <c r="C148" s="69"/>
      <c r="D148" s="389"/>
      <c r="E148" s="390"/>
      <c r="F148" s="519"/>
      <c r="G148" s="393"/>
      <c r="H148" s="519"/>
      <c r="I148" s="321"/>
      <c r="J148" s="395"/>
      <c r="K148" s="396"/>
      <c r="L148" s="397"/>
      <c r="M148" s="310"/>
      <c r="N148" s="400"/>
      <c r="O148" s="398" t="s">
        <v>278</v>
      </c>
      <c r="P148" s="399" t="s">
        <v>77</v>
      </c>
      <c r="Q148" s="317"/>
      <c r="R148" s="308"/>
      <c r="S148" s="308"/>
      <c r="T148" s="317"/>
      <c r="U148" s="324" t="str">
        <f>IF(ISERROR(VLOOKUP($T148, 'Reference data'!$J$2:$K$139, 2, FALSE)),"-",VLOOKUP($T148, 'Reference data'!$J$2:$K$139, 2, FALSE))</f>
        <v>-</v>
      </c>
      <c r="V148" s="308"/>
      <c r="W148" s="308"/>
      <c r="X148" s="312"/>
      <c r="Y148" s="313"/>
      <c r="Z148" s="69"/>
      <c r="AA148" s="341"/>
      <c r="AB148" s="82"/>
      <c r="AC148" s="71"/>
      <c r="AD148" s="319"/>
      <c r="AE148" s="226" t="s">
        <v>278</v>
      </c>
      <c r="AF148" s="230" t="s">
        <v>77</v>
      </c>
      <c r="AG148" s="322"/>
    </row>
    <row r="149" spans="2:33" s="287" customFormat="1" ht="13" x14ac:dyDescent="0.3">
      <c r="B149" s="326" t="str">
        <f>IF(C149="","Skip",IF(AND(Validator!G143=TRUE,Validator!G393=TRUE,Validator!G643=TRUE,Validator!G893=TRUE,Validator!G1143=TRUE,Validator!G1393=TRUE),"Valid","Invalid"))</f>
        <v>Skip</v>
      </c>
      <c r="C149" s="69"/>
      <c r="D149" s="389"/>
      <c r="E149" s="390"/>
      <c r="F149" s="519"/>
      <c r="G149" s="393"/>
      <c r="H149" s="519"/>
      <c r="I149" s="321"/>
      <c r="J149" s="395"/>
      <c r="K149" s="396"/>
      <c r="L149" s="397"/>
      <c r="M149" s="310"/>
      <c r="N149" s="400"/>
      <c r="O149" s="398" t="s">
        <v>278</v>
      </c>
      <c r="P149" s="399" t="s">
        <v>77</v>
      </c>
      <c r="Q149" s="317"/>
      <c r="R149" s="308"/>
      <c r="S149" s="308"/>
      <c r="T149" s="317"/>
      <c r="U149" s="324" t="str">
        <f>IF(ISERROR(VLOOKUP($T149, 'Reference data'!$J$2:$K$139, 2, FALSE)),"-",VLOOKUP($T149, 'Reference data'!$J$2:$K$139, 2, FALSE))</f>
        <v>-</v>
      </c>
      <c r="V149" s="308"/>
      <c r="W149" s="308"/>
      <c r="X149" s="312"/>
      <c r="Y149" s="313"/>
      <c r="Z149" s="69"/>
      <c r="AA149" s="341"/>
      <c r="AB149" s="82"/>
      <c r="AC149" s="71"/>
      <c r="AD149" s="319"/>
      <c r="AE149" s="226" t="s">
        <v>278</v>
      </c>
      <c r="AF149" s="230" t="s">
        <v>77</v>
      </c>
      <c r="AG149" s="322"/>
    </row>
    <row r="150" spans="2:33" s="287" customFormat="1" ht="13" x14ac:dyDescent="0.3">
      <c r="B150" s="326" t="str">
        <f>IF(C150="","Skip",IF(AND(Validator!G144=TRUE,Validator!G394=TRUE,Validator!G644=TRUE,Validator!G894=TRUE,Validator!G1144=TRUE,Validator!G1394=TRUE),"Valid","Invalid"))</f>
        <v>Skip</v>
      </c>
      <c r="C150" s="69"/>
      <c r="D150" s="389"/>
      <c r="E150" s="390"/>
      <c r="F150" s="519"/>
      <c r="G150" s="393"/>
      <c r="H150" s="519"/>
      <c r="I150" s="321"/>
      <c r="J150" s="395"/>
      <c r="K150" s="396"/>
      <c r="L150" s="397"/>
      <c r="M150" s="310"/>
      <c r="N150" s="400"/>
      <c r="O150" s="398" t="s">
        <v>278</v>
      </c>
      <c r="P150" s="399" t="s">
        <v>77</v>
      </c>
      <c r="Q150" s="317"/>
      <c r="R150" s="308"/>
      <c r="S150" s="308"/>
      <c r="T150" s="317"/>
      <c r="U150" s="324" t="str">
        <f>IF(ISERROR(VLOOKUP($T150, 'Reference data'!$J$2:$K$139, 2, FALSE)),"-",VLOOKUP($T150, 'Reference data'!$J$2:$K$139, 2, FALSE))</f>
        <v>-</v>
      </c>
      <c r="V150" s="308"/>
      <c r="W150" s="308"/>
      <c r="X150" s="312"/>
      <c r="Y150" s="313"/>
      <c r="Z150" s="69"/>
      <c r="AA150" s="341"/>
      <c r="AB150" s="82"/>
      <c r="AC150" s="71"/>
      <c r="AD150" s="319"/>
      <c r="AE150" s="226" t="s">
        <v>278</v>
      </c>
      <c r="AF150" s="230" t="s">
        <v>77</v>
      </c>
      <c r="AG150" s="322"/>
    </row>
    <row r="151" spans="2:33" s="287" customFormat="1" ht="13" x14ac:dyDescent="0.3">
      <c r="B151" s="326" t="str">
        <f>IF(C151="","Skip",IF(AND(Validator!G145=TRUE,Validator!G395=TRUE,Validator!G645=TRUE,Validator!G895=TRUE,Validator!G1145=TRUE,Validator!G1395=TRUE),"Valid","Invalid"))</f>
        <v>Skip</v>
      </c>
      <c r="C151" s="69"/>
      <c r="D151" s="389"/>
      <c r="E151" s="390"/>
      <c r="F151" s="519"/>
      <c r="G151" s="393"/>
      <c r="H151" s="519"/>
      <c r="I151" s="321"/>
      <c r="J151" s="395"/>
      <c r="K151" s="396"/>
      <c r="L151" s="397"/>
      <c r="M151" s="310"/>
      <c r="N151" s="400"/>
      <c r="O151" s="398" t="s">
        <v>278</v>
      </c>
      <c r="P151" s="399" t="s">
        <v>77</v>
      </c>
      <c r="Q151" s="317"/>
      <c r="R151" s="308"/>
      <c r="S151" s="308"/>
      <c r="T151" s="317"/>
      <c r="U151" s="324" t="str">
        <f>IF(ISERROR(VLOOKUP($T151, 'Reference data'!$J$2:$K$139, 2, FALSE)),"-",VLOOKUP($T151, 'Reference data'!$J$2:$K$139, 2, FALSE))</f>
        <v>-</v>
      </c>
      <c r="V151" s="308"/>
      <c r="W151" s="308"/>
      <c r="X151" s="312"/>
      <c r="Y151" s="313"/>
      <c r="Z151" s="69"/>
      <c r="AA151" s="341"/>
      <c r="AB151" s="82"/>
      <c r="AC151" s="71"/>
      <c r="AD151" s="319"/>
      <c r="AE151" s="226" t="s">
        <v>278</v>
      </c>
      <c r="AF151" s="230" t="s">
        <v>77</v>
      </c>
      <c r="AG151" s="322"/>
    </row>
    <row r="152" spans="2:33" s="287" customFormat="1" ht="13" x14ac:dyDescent="0.3">
      <c r="B152" s="326" t="str">
        <f>IF(C152="","Skip",IF(AND(Validator!G146=TRUE,Validator!G396=TRUE,Validator!G646=TRUE,Validator!G896=TRUE,Validator!G1146=TRUE,Validator!G1396=TRUE),"Valid","Invalid"))</f>
        <v>Skip</v>
      </c>
      <c r="C152" s="69"/>
      <c r="D152" s="389"/>
      <c r="E152" s="390"/>
      <c r="F152" s="519"/>
      <c r="G152" s="393"/>
      <c r="H152" s="519"/>
      <c r="I152" s="321"/>
      <c r="J152" s="395"/>
      <c r="K152" s="396"/>
      <c r="L152" s="397"/>
      <c r="M152" s="310"/>
      <c r="N152" s="400"/>
      <c r="O152" s="398" t="s">
        <v>278</v>
      </c>
      <c r="P152" s="399" t="s">
        <v>77</v>
      </c>
      <c r="Q152" s="317"/>
      <c r="R152" s="308"/>
      <c r="S152" s="308"/>
      <c r="T152" s="317"/>
      <c r="U152" s="324" t="str">
        <f>IF(ISERROR(VLOOKUP($T152, 'Reference data'!$J$2:$K$139, 2, FALSE)),"-",VLOOKUP($T152, 'Reference data'!$J$2:$K$139, 2, FALSE))</f>
        <v>-</v>
      </c>
      <c r="V152" s="308"/>
      <c r="W152" s="308"/>
      <c r="X152" s="312"/>
      <c r="Y152" s="313"/>
      <c r="Z152" s="69"/>
      <c r="AA152" s="341"/>
      <c r="AB152" s="82"/>
      <c r="AC152" s="71"/>
      <c r="AD152" s="319"/>
      <c r="AE152" s="226" t="s">
        <v>278</v>
      </c>
      <c r="AF152" s="230" t="s">
        <v>77</v>
      </c>
      <c r="AG152" s="322"/>
    </row>
    <row r="153" spans="2:33" s="287" customFormat="1" ht="13" x14ac:dyDescent="0.3">
      <c r="B153" s="326" t="str">
        <f>IF(C153="","Skip",IF(AND(Validator!G147=TRUE,Validator!G397=TRUE,Validator!G647=TRUE,Validator!G897=TRUE,Validator!G1147=TRUE,Validator!G1397=TRUE),"Valid","Invalid"))</f>
        <v>Skip</v>
      </c>
      <c r="C153" s="69"/>
      <c r="D153" s="389"/>
      <c r="E153" s="390"/>
      <c r="F153" s="519"/>
      <c r="G153" s="393"/>
      <c r="H153" s="519"/>
      <c r="I153" s="321"/>
      <c r="J153" s="395"/>
      <c r="K153" s="396"/>
      <c r="L153" s="397"/>
      <c r="M153" s="310"/>
      <c r="N153" s="400"/>
      <c r="O153" s="398" t="s">
        <v>278</v>
      </c>
      <c r="P153" s="399" t="s">
        <v>77</v>
      </c>
      <c r="Q153" s="317"/>
      <c r="R153" s="308"/>
      <c r="S153" s="308"/>
      <c r="T153" s="317"/>
      <c r="U153" s="324" t="str">
        <f>IF(ISERROR(VLOOKUP($T153, 'Reference data'!$J$2:$K$139, 2, FALSE)),"-",VLOOKUP($T153, 'Reference data'!$J$2:$K$139, 2, FALSE))</f>
        <v>-</v>
      </c>
      <c r="V153" s="308"/>
      <c r="W153" s="308"/>
      <c r="X153" s="312"/>
      <c r="Y153" s="313"/>
      <c r="Z153" s="69"/>
      <c r="AA153" s="341"/>
      <c r="AB153" s="82"/>
      <c r="AC153" s="71"/>
      <c r="AD153" s="319"/>
      <c r="AE153" s="226" t="s">
        <v>278</v>
      </c>
      <c r="AF153" s="230" t="s">
        <v>77</v>
      </c>
      <c r="AG153" s="322"/>
    </row>
    <row r="154" spans="2:33" s="287" customFormat="1" ht="13" x14ac:dyDescent="0.3">
      <c r="B154" s="326" t="str">
        <f>IF(C154="","Skip",IF(AND(Validator!G148=TRUE,Validator!G398=TRUE,Validator!G648=TRUE,Validator!G898=TRUE,Validator!G1148=TRUE,Validator!G1398=TRUE),"Valid","Invalid"))</f>
        <v>Skip</v>
      </c>
      <c r="C154" s="69"/>
      <c r="D154" s="389"/>
      <c r="E154" s="390"/>
      <c r="F154" s="519"/>
      <c r="G154" s="393"/>
      <c r="H154" s="519"/>
      <c r="I154" s="321"/>
      <c r="J154" s="395"/>
      <c r="K154" s="396"/>
      <c r="L154" s="397"/>
      <c r="M154" s="310"/>
      <c r="N154" s="400"/>
      <c r="O154" s="398" t="s">
        <v>278</v>
      </c>
      <c r="P154" s="399" t="s">
        <v>77</v>
      </c>
      <c r="Q154" s="317"/>
      <c r="R154" s="308"/>
      <c r="S154" s="308"/>
      <c r="T154" s="317"/>
      <c r="U154" s="324" t="str">
        <f>IF(ISERROR(VLOOKUP($T154, 'Reference data'!$J$2:$K$139, 2, FALSE)),"-",VLOOKUP($T154, 'Reference data'!$J$2:$K$139, 2, FALSE))</f>
        <v>-</v>
      </c>
      <c r="V154" s="308"/>
      <c r="W154" s="308"/>
      <c r="X154" s="312"/>
      <c r="Y154" s="313"/>
      <c r="Z154" s="69"/>
      <c r="AA154" s="341"/>
      <c r="AB154" s="82"/>
      <c r="AC154" s="71"/>
      <c r="AD154" s="319"/>
      <c r="AE154" s="226" t="s">
        <v>278</v>
      </c>
      <c r="AF154" s="230" t="s">
        <v>77</v>
      </c>
      <c r="AG154" s="322"/>
    </row>
    <row r="155" spans="2:33" s="287" customFormat="1" ht="13" x14ac:dyDescent="0.3">
      <c r="B155" s="326" t="str">
        <f>IF(C155="","Skip",IF(AND(Validator!G149=TRUE,Validator!G399=TRUE,Validator!G649=TRUE,Validator!G899=TRUE,Validator!G1149=TRUE,Validator!G1399=TRUE),"Valid","Invalid"))</f>
        <v>Skip</v>
      </c>
      <c r="C155" s="69"/>
      <c r="D155" s="389"/>
      <c r="E155" s="390"/>
      <c r="F155" s="519"/>
      <c r="G155" s="393"/>
      <c r="H155" s="519"/>
      <c r="I155" s="321"/>
      <c r="J155" s="395"/>
      <c r="K155" s="396"/>
      <c r="L155" s="397"/>
      <c r="M155" s="310"/>
      <c r="N155" s="400"/>
      <c r="O155" s="398" t="s">
        <v>278</v>
      </c>
      <c r="P155" s="399" t="s">
        <v>77</v>
      </c>
      <c r="Q155" s="317"/>
      <c r="R155" s="308"/>
      <c r="S155" s="308"/>
      <c r="T155" s="317"/>
      <c r="U155" s="324" t="str">
        <f>IF(ISERROR(VLOOKUP($T155, 'Reference data'!$J$2:$K$139, 2, FALSE)),"-",VLOOKUP($T155, 'Reference data'!$J$2:$K$139, 2, FALSE))</f>
        <v>-</v>
      </c>
      <c r="V155" s="308"/>
      <c r="W155" s="308"/>
      <c r="X155" s="312"/>
      <c r="Y155" s="313"/>
      <c r="Z155" s="69"/>
      <c r="AA155" s="341"/>
      <c r="AB155" s="82"/>
      <c r="AC155" s="71"/>
      <c r="AD155" s="319"/>
      <c r="AE155" s="226" t="s">
        <v>278</v>
      </c>
      <c r="AF155" s="230" t="s">
        <v>77</v>
      </c>
      <c r="AG155" s="322"/>
    </row>
    <row r="156" spans="2:33" s="287" customFormat="1" ht="13" x14ac:dyDescent="0.3">
      <c r="B156" s="326" t="str">
        <f>IF(C156="","Skip",IF(AND(Validator!G150=TRUE,Validator!G400=TRUE,Validator!G650=TRUE,Validator!G900=TRUE,Validator!G1150=TRUE,Validator!G1400=TRUE),"Valid","Invalid"))</f>
        <v>Skip</v>
      </c>
      <c r="C156" s="69"/>
      <c r="D156" s="389"/>
      <c r="E156" s="390"/>
      <c r="F156" s="519"/>
      <c r="G156" s="393"/>
      <c r="H156" s="519"/>
      <c r="I156" s="321"/>
      <c r="J156" s="395"/>
      <c r="K156" s="396"/>
      <c r="L156" s="397"/>
      <c r="M156" s="310"/>
      <c r="N156" s="400"/>
      <c r="O156" s="398" t="s">
        <v>278</v>
      </c>
      <c r="P156" s="399" t="s">
        <v>77</v>
      </c>
      <c r="Q156" s="317"/>
      <c r="R156" s="308"/>
      <c r="S156" s="308"/>
      <c r="T156" s="317"/>
      <c r="U156" s="324" t="str">
        <f>IF(ISERROR(VLOOKUP($T156, 'Reference data'!$J$2:$K$139, 2, FALSE)),"-",VLOOKUP($T156, 'Reference data'!$J$2:$K$139, 2, FALSE))</f>
        <v>-</v>
      </c>
      <c r="V156" s="308"/>
      <c r="W156" s="308"/>
      <c r="X156" s="312"/>
      <c r="Y156" s="313"/>
      <c r="Z156" s="69"/>
      <c r="AA156" s="341"/>
      <c r="AB156" s="82"/>
      <c r="AC156" s="71"/>
      <c r="AD156" s="319"/>
      <c r="AE156" s="226" t="s">
        <v>278</v>
      </c>
      <c r="AF156" s="230" t="s">
        <v>77</v>
      </c>
      <c r="AG156" s="322"/>
    </row>
    <row r="157" spans="2:33" s="287" customFormat="1" ht="13" x14ac:dyDescent="0.3">
      <c r="B157" s="326" t="str">
        <f>IF(C157="","Skip",IF(AND(Validator!G151=TRUE,Validator!G401=TRUE,Validator!G651=TRUE,Validator!G901=TRUE,Validator!G1151=TRUE,Validator!G1401=TRUE),"Valid","Invalid"))</f>
        <v>Skip</v>
      </c>
      <c r="C157" s="69"/>
      <c r="D157" s="389"/>
      <c r="E157" s="390"/>
      <c r="F157" s="519"/>
      <c r="G157" s="393"/>
      <c r="H157" s="519"/>
      <c r="I157" s="321"/>
      <c r="J157" s="395"/>
      <c r="K157" s="396"/>
      <c r="L157" s="397"/>
      <c r="M157" s="310"/>
      <c r="N157" s="400"/>
      <c r="O157" s="398" t="s">
        <v>278</v>
      </c>
      <c r="P157" s="399" t="s">
        <v>77</v>
      </c>
      <c r="Q157" s="317"/>
      <c r="R157" s="308"/>
      <c r="S157" s="308"/>
      <c r="T157" s="317"/>
      <c r="U157" s="324" t="str">
        <f>IF(ISERROR(VLOOKUP($T157, 'Reference data'!$J$2:$K$139, 2, FALSE)),"-",VLOOKUP($T157, 'Reference data'!$J$2:$K$139, 2, FALSE))</f>
        <v>-</v>
      </c>
      <c r="V157" s="308"/>
      <c r="W157" s="308"/>
      <c r="X157" s="312"/>
      <c r="Y157" s="313"/>
      <c r="Z157" s="69"/>
      <c r="AA157" s="341"/>
      <c r="AB157" s="82"/>
      <c r="AC157" s="71"/>
      <c r="AD157" s="319"/>
      <c r="AE157" s="226" t="s">
        <v>278</v>
      </c>
      <c r="AF157" s="230" t="s">
        <v>77</v>
      </c>
      <c r="AG157" s="322"/>
    </row>
    <row r="158" spans="2:33" s="287" customFormat="1" ht="13" x14ac:dyDescent="0.3">
      <c r="B158" s="326" t="str">
        <f>IF(C158="","Skip",IF(AND(Validator!G152=TRUE,Validator!G402=TRUE,Validator!G652=TRUE,Validator!G902=TRUE,Validator!G1152=TRUE,Validator!G1402=TRUE),"Valid","Invalid"))</f>
        <v>Skip</v>
      </c>
      <c r="C158" s="69"/>
      <c r="D158" s="389"/>
      <c r="E158" s="390"/>
      <c r="F158" s="519"/>
      <c r="G158" s="393"/>
      <c r="H158" s="519"/>
      <c r="I158" s="321"/>
      <c r="J158" s="395"/>
      <c r="K158" s="396"/>
      <c r="L158" s="397"/>
      <c r="M158" s="310"/>
      <c r="N158" s="400"/>
      <c r="O158" s="398" t="s">
        <v>278</v>
      </c>
      <c r="P158" s="399" t="s">
        <v>77</v>
      </c>
      <c r="Q158" s="317"/>
      <c r="R158" s="308"/>
      <c r="S158" s="308"/>
      <c r="T158" s="317"/>
      <c r="U158" s="324" t="str">
        <f>IF(ISERROR(VLOOKUP($T158, 'Reference data'!$J$2:$K$139, 2, FALSE)),"-",VLOOKUP($T158, 'Reference data'!$J$2:$K$139, 2, FALSE))</f>
        <v>-</v>
      </c>
      <c r="V158" s="308"/>
      <c r="W158" s="308"/>
      <c r="X158" s="312"/>
      <c r="Y158" s="313"/>
      <c r="Z158" s="69"/>
      <c r="AA158" s="341"/>
      <c r="AB158" s="82"/>
      <c r="AC158" s="71"/>
      <c r="AD158" s="319"/>
      <c r="AE158" s="226" t="s">
        <v>278</v>
      </c>
      <c r="AF158" s="230" t="s">
        <v>77</v>
      </c>
      <c r="AG158" s="322"/>
    </row>
    <row r="159" spans="2:33" s="287" customFormat="1" ht="13" x14ac:dyDescent="0.3">
      <c r="B159" s="326" t="str">
        <f>IF(C159="","Skip",IF(AND(Validator!G153=TRUE,Validator!G403=TRUE,Validator!G653=TRUE,Validator!G903=TRUE,Validator!G1153=TRUE,Validator!G1403=TRUE),"Valid","Invalid"))</f>
        <v>Skip</v>
      </c>
      <c r="C159" s="69"/>
      <c r="D159" s="389"/>
      <c r="E159" s="390"/>
      <c r="F159" s="519"/>
      <c r="G159" s="393"/>
      <c r="H159" s="519"/>
      <c r="I159" s="321"/>
      <c r="J159" s="395"/>
      <c r="K159" s="396"/>
      <c r="L159" s="397"/>
      <c r="M159" s="310"/>
      <c r="N159" s="400"/>
      <c r="O159" s="398" t="s">
        <v>278</v>
      </c>
      <c r="P159" s="399" t="s">
        <v>77</v>
      </c>
      <c r="Q159" s="317"/>
      <c r="R159" s="308"/>
      <c r="S159" s="308"/>
      <c r="T159" s="317"/>
      <c r="U159" s="324" t="str">
        <f>IF(ISERROR(VLOOKUP($T159, 'Reference data'!$J$2:$K$139, 2, FALSE)),"-",VLOOKUP($T159, 'Reference data'!$J$2:$K$139, 2, FALSE))</f>
        <v>-</v>
      </c>
      <c r="V159" s="308"/>
      <c r="W159" s="308"/>
      <c r="X159" s="312"/>
      <c r="Y159" s="313"/>
      <c r="Z159" s="69"/>
      <c r="AA159" s="341"/>
      <c r="AB159" s="82"/>
      <c r="AC159" s="71"/>
      <c r="AD159" s="319"/>
      <c r="AE159" s="226" t="s">
        <v>278</v>
      </c>
      <c r="AF159" s="230" t="s">
        <v>77</v>
      </c>
      <c r="AG159" s="322"/>
    </row>
    <row r="160" spans="2:33" s="287" customFormat="1" ht="13" x14ac:dyDescent="0.3">
      <c r="B160" s="326" t="str">
        <f>IF(C160="","Skip",IF(AND(Validator!G154=TRUE,Validator!G404=TRUE,Validator!G654=TRUE,Validator!G904=TRUE,Validator!G1154=TRUE,Validator!G1404=TRUE),"Valid","Invalid"))</f>
        <v>Skip</v>
      </c>
      <c r="C160" s="69"/>
      <c r="D160" s="389"/>
      <c r="E160" s="390"/>
      <c r="F160" s="519"/>
      <c r="G160" s="393"/>
      <c r="H160" s="519"/>
      <c r="I160" s="321"/>
      <c r="J160" s="395"/>
      <c r="K160" s="396"/>
      <c r="L160" s="397"/>
      <c r="M160" s="310"/>
      <c r="N160" s="400"/>
      <c r="O160" s="398" t="s">
        <v>278</v>
      </c>
      <c r="P160" s="399" t="s">
        <v>77</v>
      </c>
      <c r="Q160" s="317"/>
      <c r="R160" s="308"/>
      <c r="S160" s="308"/>
      <c r="T160" s="317"/>
      <c r="U160" s="324" t="str">
        <f>IF(ISERROR(VLOOKUP($T160, 'Reference data'!$J$2:$K$139, 2, FALSE)),"-",VLOOKUP($T160, 'Reference data'!$J$2:$K$139, 2, FALSE))</f>
        <v>-</v>
      </c>
      <c r="V160" s="308"/>
      <c r="W160" s="308"/>
      <c r="X160" s="312"/>
      <c r="Y160" s="313"/>
      <c r="Z160" s="69"/>
      <c r="AA160" s="341"/>
      <c r="AB160" s="82"/>
      <c r="AC160" s="71"/>
      <c r="AD160" s="319"/>
      <c r="AE160" s="226" t="s">
        <v>278</v>
      </c>
      <c r="AF160" s="230" t="s">
        <v>77</v>
      </c>
      <c r="AG160" s="322"/>
    </row>
    <row r="161" spans="2:33" s="287" customFormat="1" ht="13" x14ac:dyDescent="0.3">
      <c r="B161" s="326" t="str">
        <f>IF(C161="","Skip",IF(AND(Validator!G155=TRUE,Validator!G405=TRUE,Validator!G655=TRUE,Validator!G905=TRUE,Validator!G1155=TRUE,Validator!G1405=TRUE),"Valid","Invalid"))</f>
        <v>Skip</v>
      </c>
      <c r="C161" s="69"/>
      <c r="D161" s="389"/>
      <c r="E161" s="390"/>
      <c r="F161" s="519"/>
      <c r="G161" s="393"/>
      <c r="H161" s="519"/>
      <c r="I161" s="321"/>
      <c r="J161" s="395"/>
      <c r="K161" s="396"/>
      <c r="L161" s="397"/>
      <c r="M161" s="310"/>
      <c r="N161" s="400"/>
      <c r="O161" s="398" t="s">
        <v>278</v>
      </c>
      <c r="P161" s="399" t="s">
        <v>77</v>
      </c>
      <c r="Q161" s="317"/>
      <c r="R161" s="308"/>
      <c r="S161" s="308"/>
      <c r="T161" s="317"/>
      <c r="U161" s="324" t="str">
        <f>IF(ISERROR(VLOOKUP($T161, 'Reference data'!$J$2:$K$139, 2, FALSE)),"-",VLOOKUP($T161, 'Reference data'!$J$2:$K$139, 2, FALSE))</f>
        <v>-</v>
      </c>
      <c r="V161" s="308"/>
      <c r="W161" s="308"/>
      <c r="X161" s="312"/>
      <c r="Y161" s="313"/>
      <c r="Z161" s="69"/>
      <c r="AA161" s="341"/>
      <c r="AB161" s="82"/>
      <c r="AC161" s="71"/>
      <c r="AD161" s="319"/>
      <c r="AE161" s="226" t="s">
        <v>278</v>
      </c>
      <c r="AF161" s="230" t="s">
        <v>77</v>
      </c>
      <c r="AG161" s="322"/>
    </row>
    <row r="162" spans="2:33" s="287" customFormat="1" ht="13" x14ac:dyDescent="0.3">
      <c r="B162" s="326" t="str">
        <f>IF(C162="","Skip",IF(AND(Validator!G156=TRUE,Validator!G406=TRUE,Validator!G656=TRUE,Validator!G906=TRUE,Validator!G1156=TRUE,Validator!G1406=TRUE),"Valid","Invalid"))</f>
        <v>Skip</v>
      </c>
      <c r="C162" s="69"/>
      <c r="D162" s="389"/>
      <c r="E162" s="390"/>
      <c r="F162" s="519"/>
      <c r="G162" s="393"/>
      <c r="H162" s="519"/>
      <c r="I162" s="321"/>
      <c r="J162" s="395"/>
      <c r="K162" s="396"/>
      <c r="L162" s="397"/>
      <c r="M162" s="310"/>
      <c r="N162" s="400"/>
      <c r="O162" s="398" t="s">
        <v>278</v>
      </c>
      <c r="P162" s="399" t="s">
        <v>77</v>
      </c>
      <c r="Q162" s="317"/>
      <c r="R162" s="308"/>
      <c r="S162" s="308"/>
      <c r="T162" s="317"/>
      <c r="U162" s="324" t="str">
        <f>IF(ISERROR(VLOOKUP($T162, 'Reference data'!$J$2:$K$139, 2, FALSE)),"-",VLOOKUP($T162, 'Reference data'!$J$2:$K$139, 2, FALSE))</f>
        <v>-</v>
      </c>
      <c r="V162" s="308"/>
      <c r="W162" s="308"/>
      <c r="X162" s="312"/>
      <c r="Y162" s="313"/>
      <c r="Z162" s="69"/>
      <c r="AA162" s="341"/>
      <c r="AB162" s="82"/>
      <c r="AC162" s="71"/>
      <c r="AD162" s="319"/>
      <c r="AE162" s="226" t="s">
        <v>278</v>
      </c>
      <c r="AF162" s="230" t="s">
        <v>77</v>
      </c>
      <c r="AG162" s="322"/>
    </row>
    <row r="163" spans="2:33" s="287" customFormat="1" ht="13" x14ac:dyDescent="0.3">
      <c r="B163" s="326" t="str">
        <f>IF(C163="","Skip",IF(AND(Validator!G157=TRUE,Validator!G407=TRUE,Validator!G657=TRUE,Validator!G907=TRUE,Validator!G1157=TRUE,Validator!G1407=TRUE),"Valid","Invalid"))</f>
        <v>Skip</v>
      </c>
      <c r="C163" s="69"/>
      <c r="D163" s="389"/>
      <c r="E163" s="390"/>
      <c r="F163" s="519"/>
      <c r="G163" s="393"/>
      <c r="H163" s="519"/>
      <c r="I163" s="321"/>
      <c r="J163" s="395"/>
      <c r="K163" s="396"/>
      <c r="L163" s="397"/>
      <c r="M163" s="310"/>
      <c r="N163" s="400"/>
      <c r="O163" s="398" t="s">
        <v>278</v>
      </c>
      <c r="P163" s="399" t="s">
        <v>77</v>
      </c>
      <c r="Q163" s="317"/>
      <c r="R163" s="308"/>
      <c r="S163" s="308"/>
      <c r="T163" s="317"/>
      <c r="U163" s="324" t="str">
        <f>IF(ISERROR(VLOOKUP($T163, 'Reference data'!$J$2:$K$139, 2, FALSE)),"-",VLOOKUP($T163, 'Reference data'!$J$2:$K$139, 2, FALSE))</f>
        <v>-</v>
      </c>
      <c r="V163" s="308"/>
      <c r="W163" s="308"/>
      <c r="X163" s="312"/>
      <c r="Y163" s="313"/>
      <c r="Z163" s="69"/>
      <c r="AA163" s="341"/>
      <c r="AB163" s="82"/>
      <c r="AC163" s="71"/>
      <c r="AD163" s="319"/>
      <c r="AE163" s="226" t="s">
        <v>278</v>
      </c>
      <c r="AF163" s="230" t="s">
        <v>77</v>
      </c>
      <c r="AG163" s="322"/>
    </row>
    <row r="164" spans="2:33" s="287" customFormat="1" ht="13" x14ac:dyDescent="0.3">
      <c r="B164" s="326" t="str">
        <f>IF(C164="","Skip",IF(AND(Validator!G158=TRUE,Validator!G408=TRUE,Validator!G658=TRUE,Validator!G908=TRUE,Validator!G1158=TRUE,Validator!G1408=TRUE),"Valid","Invalid"))</f>
        <v>Skip</v>
      </c>
      <c r="C164" s="69"/>
      <c r="D164" s="389"/>
      <c r="E164" s="390"/>
      <c r="F164" s="519"/>
      <c r="G164" s="393"/>
      <c r="H164" s="519"/>
      <c r="I164" s="321"/>
      <c r="J164" s="395"/>
      <c r="K164" s="396"/>
      <c r="L164" s="397"/>
      <c r="M164" s="310"/>
      <c r="N164" s="400"/>
      <c r="O164" s="398" t="s">
        <v>278</v>
      </c>
      <c r="P164" s="399" t="s">
        <v>77</v>
      </c>
      <c r="Q164" s="317"/>
      <c r="R164" s="308"/>
      <c r="S164" s="308"/>
      <c r="T164" s="317"/>
      <c r="U164" s="324" t="str">
        <f>IF(ISERROR(VLOOKUP($T164, 'Reference data'!$J$2:$K$139, 2, FALSE)),"-",VLOOKUP($T164, 'Reference data'!$J$2:$K$139, 2, FALSE))</f>
        <v>-</v>
      </c>
      <c r="V164" s="308"/>
      <c r="W164" s="308"/>
      <c r="X164" s="312"/>
      <c r="Y164" s="313"/>
      <c r="Z164" s="69"/>
      <c r="AA164" s="341"/>
      <c r="AB164" s="82"/>
      <c r="AC164" s="71"/>
      <c r="AD164" s="319"/>
      <c r="AE164" s="226" t="s">
        <v>278</v>
      </c>
      <c r="AF164" s="230" t="s">
        <v>77</v>
      </c>
      <c r="AG164" s="322"/>
    </row>
    <row r="165" spans="2:33" s="287" customFormat="1" ht="13" x14ac:dyDescent="0.3">
      <c r="B165" s="326" t="str">
        <f>IF(C165="","Skip",IF(AND(Validator!G159=TRUE,Validator!G409=TRUE,Validator!G659=TRUE,Validator!G909=TRUE,Validator!G1159=TRUE,Validator!G1409=TRUE),"Valid","Invalid"))</f>
        <v>Skip</v>
      </c>
      <c r="C165" s="69"/>
      <c r="D165" s="389"/>
      <c r="E165" s="390"/>
      <c r="F165" s="519"/>
      <c r="G165" s="393"/>
      <c r="H165" s="519"/>
      <c r="I165" s="321"/>
      <c r="J165" s="395"/>
      <c r="K165" s="396"/>
      <c r="L165" s="397"/>
      <c r="M165" s="310"/>
      <c r="N165" s="400"/>
      <c r="O165" s="398" t="s">
        <v>278</v>
      </c>
      <c r="P165" s="399" t="s">
        <v>77</v>
      </c>
      <c r="Q165" s="317"/>
      <c r="R165" s="308"/>
      <c r="S165" s="308"/>
      <c r="T165" s="317"/>
      <c r="U165" s="324" t="str">
        <f>IF(ISERROR(VLOOKUP($T165, 'Reference data'!$J$2:$K$139, 2, FALSE)),"-",VLOOKUP($T165, 'Reference data'!$J$2:$K$139, 2, FALSE))</f>
        <v>-</v>
      </c>
      <c r="V165" s="308"/>
      <c r="W165" s="308"/>
      <c r="X165" s="312"/>
      <c r="Y165" s="313"/>
      <c r="Z165" s="69"/>
      <c r="AA165" s="341"/>
      <c r="AB165" s="82"/>
      <c r="AC165" s="71"/>
      <c r="AD165" s="319"/>
      <c r="AE165" s="226" t="s">
        <v>278</v>
      </c>
      <c r="AF165" s="230" t="s">
        <v>77</v>
      </c>
      <c r="AG165" s="322"/>
    </row>
    <row r="166" spans="2:33" s="287" customFormat="1" ht="13" x14ac:dyDescent="0.3">
      <c r="B166" s="326" t="str">
        <f>IF(C166="","Skip",IF(AND(Validator!G160=TRUE,Validator!G410=TRUE,Validator!G660=TRUE,Validator!G910=TRUE,Validator!G1160=TRUE,Validator!G1410=TRUE),"Valid","Invalid"))</f>
        <v>Skip</v>
      </c>
      <c r="C166" s="69"/>
      <c r="D166" s="389"/>
      <c r="E166" s="390"/>
      <c r="F166" s="519"/>
      <c r="G166" s="393"/>
      <c r="H166" s="519"/>
      <c r="I166" s="321"/>
      <c r="J166" s="395"/>
      <c r="K166" s="396"/>
      <c r="L166" s="397"/>
      <c r="M166" s="310"/>
      <c r="N166" s="400"/>
      <c r="O166" s="398" t="s">
        <v>278</v>
      </c>
      <c r="P166" s="399" t="s">
        <v>77</v>
      </c>
      <c r="Q166" s="317"/>
      <c r="R166" s="308"/>
      <c r="S166" s="308"/>
      <c r="T166" s="317"/>
      <c r="U166" s="324" t="str">
        <f>IF(ISERROR(VLOOKUP($T166, 'Reference data'!$J$2:$K$139, 2, FALSE)),"-",VLOOKUP($T166, 'Reference data'!$J$2:$K$139, 2, FALSE))</f>
        <v>-</v>
      </c>
      <c r="V166" s="308"/>
      <c r="W166" s="308"/>
      <c r="X166" s="312"/>
      <c r="Y166" s="313"/>
      <c r="Z166" s="69"/>
      <c r="AA166" s="341"/>
      <c r="AB166" s="82"/>
      <c r="AC166" s="71"/>
      <c r="AD166" s="319"/>
      <c r="AE166" s="226" t="s">
        <v>278</v>
      </c>
      <c r="AF166" s="230" t="s">
        <v>77</v>
      </c>
      <c r="AG166" s="322"/>
    </row>
    <row r="167" spans="2:33" s="287" customFormat="1" ht="13" x14ac:dyDescent="0.3">
      <c r="B167" s="326" t="str">
        <f>IF(C167="","Skip",IF(AND(Validator!G161=TRUE,Validator!G411=TRUE,Validator!G661=TRUE,Validator!G911=TRUE,Validator!G1161=TRUE,Validator!G1411=TRUE),"Valid","Invalid"))</f>
        <v>Skip</v>
      </c>
      <c r="C167" s="69"/>
      <c r="D167" s="389"/>
      <c r="E167" s="390"/>
      <c r="F167" s="519"/>
      <c r="G167" s="393"/>
      <c r="H167" s="519"/>
      <c r="I167" s="321"/>
      <c r="J167" s="395"/>
      <c r="K167" s="396"/>
      <c r="L167" s="397"/>
      <c r="M167" s="310"/>
      <c r="N167" s="400"/>
      <c r="O167" s="398" t="s">
        <v>278</v>
      </c>
      <c r="P167" s="399" t="s">
        <v>77</v>
      </c>
      <c r="Q167" s="317"/>
      <c r="R167" s="308"/>
      <c r="S167" s="308"/>
      <c r="T167" s="317"/>
      <c r="U167" s="324" t="str">
        <f>IF(ISERROR(VLOOKUP($T167, 'Reference data'!$J$2:$K$139, 2, FALSE)),"-",VLOOKUP($T167, 'Reference data'!$J$2:$K$139, 2, FALSE))</f>
        <v>-</v>
      </c>
      <c r="V167" s="308"/>
      <c r="W167" s="308"/>
      <c r="X167" s="312"/>
      <c r="Y167" s="313"/>
      <c r="Z167" s="69"/>
      <c r="AA167" s="341"/>
      <c r="AB167" s="82"/>
      <c r="AC167" s="71"/>
      <c r="AD167" s="319"/>
      <c r="AE167" s="226" t="s">
        <v>278</v>
      </c>
      <c r="AF167" s="230" t="s">
        <v>77</v>
      </c>
      <c r="AG167" s="322"/>
    </row>
    <row r="168" spans="2:33" s="287" customFormat="1" ht="13" x14ac:dyDescent="0.3">
      <c r="B168" s="326" t="str">
        <f>IF(C168="","Skip",IF(AND(Validator!G162=TRUE,Validator!G412=TRUE,Validator!G662=TRUE,Validator!G912=TRUE,Validator!G1162=TRUE,Validator!G1412=TRUE),"Valid","Invalid"))</f>
        <v>Skip</v>
      </c>
      <c r="C168" s="69"/>
      <c r="D168" s="389"/>
      <c r="E168" s="390"/>
      <c r="F168" s="519"/>
      <c r="G168" s="393"/>
      <c r="H168" s="519"/>
      <c r="I168" s="321"/>
      <c r="J168" s="395"/>
      <c r="K168" s="396"/>
      <c r="L168" s="397"/>
      <c r="M168" s="310"/>
      <c r="N168" s="400"/>
      <c r="O168" s="398" t="s">
        <v>278</v>
      </c>
      <c r="P168" s="399" t="s">
        <v>77</v>
      </c>
      <c r="Q168" s="317"/>
      <c r="R168" s="308"/>
      <c r="S168" s="308"/>
      <c r="T168" s="317"/>
      <c r="U168" s="324" t="str">
        <f>IF(ISERROR(VLOOKUP($T168, 'Reference data'!$J$2:$K$139, 2, FALSE)),"-",VLOOKUP($T168, 'Reference data'!$J$2:$K$139, 2, FALSE))</f>
        <v>-</v>
      </c>
      <c r="V168" s="308"/>
      <c r="W168" s="308"/>
      <c r="X168" s="312"/>
      <c r="Y168" s="313"/>
      <c r="Z168" s="69"/>
      <c r="AA168" s="341"/>
      <c r="AB168" s="82"/>
      <c r="AC168" s="71"/>
      <c r="AD168" s="319"/>
      <c r="AE168" s="226" t="s">
        <v>278</v>
      </c>
      <c r="AF168" s="230" t="s">
        <v>77</v>
      </c>
      <c r="AG168" s="322"/>
    </row>
    <row r="169" spans="2:33" s="287" customFormat="1" ht="13" x14ac:dyDescent="0.3">
      <c r="B169" s="326" t="str">
        <f>IF(C169="","Skip",IF(AND(Validator!G163=TRUE,Validator!G413=TRUE,Validator!G663=TRUE,Validator!G913=TRUE,Validator!G1163=TRUE,Validator!G1413=TRUE),"Valid","Invalid"))</f>
        <v>Skip</v>
      </c>
      <c r="C169" s="69"/>
      <c r="D169" s="389"/>
      <c r="E169" s="390"/>
      <c r="F169" s="519"/>
      <c r="G169" s="393"/>
      <c r="H169" s="519"/>
      <c r="I169" s="321"/>
      <c r="J169" s="395"/>
      <c r="K169" s="396"/>
      <c r="L169" s="397"/>
      <c r="M169" s="310"/>
      <c r="N169" s="400"/>
      <c r="O169" s="398" t="s">
        <v>278</v>
      </c>
      <c r="P169" s="399" t="s">
        <v>77</v>
      </c>
      <c r="Q169" s="317"/>
      <c r="R169" s="308"/>
      <c r="S169" s="308"/>
      <c r="T169" s="317"/>
      <c r="U169" s="324" t="str">
        <f>IF(ISERROR(VLOOKUP($T169, 'Reference data'!$J$2:$K$139, 2, FALSE)),"-",VLOOKUP($T169, 'Reference data'!$J$2:$K$139, 2, FALSE))</f>
        <v>-</v>
      </c>
      <c r="V169" s="308"/>
      <c r="W169" s="308"/>
      <c r="X169" s="312"/>
      <c r="Y169" s="313"/>
      <c r="Z169" s="69"/>
      <c r="AA169" s="341"/>
      <c r="AB169" s="82"/>
      <c r="AC169" s="71"/>
      <c r="AD169" s="319"/>
      <c r="AE169" s="226" t="s">
        <v>278</v>
      </c>
      <c r="AF169" s="230" t="s">
        <v>77</v>
      </c>
      <c r="AG169" s="322"/>
    </row>
    <row r="170" spans="2:33" s="287" customFormat="1" ht="13" x14ac:dyDescent="0.3">
      <c r="B170" s="326" t="str">
        <f>IF(C170="","Skip",IF(AND(Validator!G164=TRUE,Validator!G414=TRUE,Validator!G664=TRUE,Validator!G914=TRUE,Validator!G1164=TRUE,Validator!G1414=TRUE),"Valid","Invalid"))</f>
        <v>Skip</v>
      </c>
      <c r="C170" s="69"/>
      <c r="D170" s="389"/>
      <c r="E170" s="390"/>
      <c r="F170" s="519"/>
      <c r="G170" s="393"/>
      <c r="H170" s="519"/>
      <c r="I170" s="321"/>
      <c r="J170" s="395"/>
      <c r="K170" s="396"/>
      <c r="L170" s="397"/>
      <c r="M170" s="310"/>
      <c r="N170" s="400"/>
      <c r="O170" s="398" t="s">
        <v>278</v>
      </c>
      <c r="P170" s="399" t="s">
        <v>77</v>
      </c>
      <c r="Q170" s="317"/>
      <c r="R170" s="308"/>
      <c r="S170" s="308"/>
      <c r="T170" s="317"/>
      <c r="U170" s="324" t="str">
        <f>IF(ISERROR(VLOOKUP($T170, 'Reference data'!$J$2:$K$139, 2, FALSE)),"-",VLOOKUP($T170, 'Reference data'!$J$2:$K$139, 2, FALSE))</f>
        <v>-</v>
      </c>
      <c r="V170" s="308"/>
      <c r="W170" s="308"/>
      <c r="X170" s="312"/>
      <c r="Y170" s="313"/>
      <c r="Z170" s="69"/>
      <c r="AA170" s="341"/>
      <c r="AB170" s="82"/>
      <c r="AC170" s="71"/>
      <c r="AD170" s="319"/>
      <c r="AE170" s="226" t="s">
        <v>278</v>
      </c>
      <c r="AF170" s="230" t="s">
        <v>77</v>
      </c>
      <c r="AG170" s="322"/>
    </row>
    <row r="171" spans="2:33" s="287" customFormat="1" ht="13" x14ac:dyDescent="0.3">
      <c r="B171" s="326" t="str">
        <f>IF(C171="","Skip",IF(AND(Validator!G165=TRUE,Validator!G415=TRUE,Validator!G665=TRUE,Validator!G915=TRUE,Validator!G1165=TRUE,Validator!G1415=TRUE),"Valid","Invalid"))</f>
        <v>Skip</v>
      </c>
      <c r="C171" s="69"/>
      <c r="D171" s="389"/>
      <c r="E171" s="390"/>
      <c r="F171" s="519"/>
      <c r="G171" s="393"/>
      <c r="H171" s="519"/>
      <c r="I171" s="321"/>
      <c r="J171" s="395"/>
      <c r="K171" s="396"/>
      <c r="L171" s="397"/>
      <c r="M171" s="310"/>
      <c r="N171" s="400"/>
      <c r="O171" s="398" t="s">
        <v>278</v>
      </c>
      <c r="P171" s="399" t="s">
        <v>77</v>
      </c>
      <c r="Q171" s="317"/>
      <c r="R171" s="308"/>
      <c r="S171" s="308"/>
      <c r="T171" s="317"/>
      <c r="U171" s="324" t="str">
        <f>IF(ISERROR(VLOOKUP($T171, 'Reference data'!$J$2:$K$139, 2, FALSE)),"-",VLOOKUP($T171, 'Reference data'!$J$2:$K$139, 2, FALSE))</f>
        <v>-</v>
      </c>
      <c r="V171" s="308"/>
      <c r="W171" s="308"/>
      <c r="X171" s="312"/>
      <c r="Y171" s="313"/>
      <c r="Z171" s="69"/>
      <c r="AA171" s="341"/>
      <c r="AB171" s="82"/>
      <c r="AC171" s="71"/>
      <c r="AD171" s="319"/>
      <c r="AE171" s="226" t="s">
        <v>278</v>
      </c>
      <c r="AF171" s="230" t="s">
        <v>77</v>
      </c>
      <c r="AG171" s="322"/>
    </row>
    <row r="172" spans="2:33" s="287" customFormat="1" ht="13" x14ac:dyDescent="0.3">
      <c r="B172" s="326" t="str">
        <f>IF(C172="","Skip",IF(AND(Validator!G166=TRUE,Validator!G416=TRUE,Validator!G666=TRUE,Validator!G916=TRUE,Validator!G1166=TRUE,Validator!G1416=TRUE),"Valid","Invalid"))</f>
        <v>Skip</v>
      </c>
      <c r="C172" s="69"/>
      <c r="D172" s="389"/>
      <c r="E172" s="390"/>
      <c r="F172" s="519"/>
      <c r="G172" s="393"/>
      <c r="H172" s="519"/>
      <c r="I172" s="321"/>
      <c r="J172" s="395"/>
      <c r="K172" s="396"/>
      <c r="L172" s="397"/>
      <c r="M172" s="310"/>
      <c r="N172" s="400"/>
      <c r="O172" s="398" t="s">
        <v>278</v>
      </c>
      <c r="P172" s="399" t="s">
        <v>77</v>
      </c>
      <c r="Q172" s="317"/>
      <c r="R172" s="308"/>
      <c r="S172" s="308"/>
      <c r="T172" s="317"/>
      <c r="U172" s="324" t="str">
        <f>IF(ISERROR(VLOOKUP($T172, 'Reference data'!$J$2:$K$139, 2, FALSE)),"-",VLOOKUP($T172, 'Reference data'!$J$2:$K$139, 2, FALSE))</f>
        <v>-</v>
      </c>
      <c r="V172" s="308"/>
      <c r="W172" s="308"/>
      <c r="X172" s="312"/>
      <c r="Y172" s="313"/>
      <c r="Z172" s="69"/>
      <c r="AA172" s="341"/>
      <c r="AB172" s="82"/>
      <c r="AC172" s="71"/>
      <c r="AD172" s="319"/>
      <c r="AE172" s="226" t="s">
        <v>278</v>
      </c>
      <c r="AF172" s="230" t="s">
        <v>77</v>
      </c>
      <c r="AG172" s="322"/>
    </row>
    <row r="173" spans="2:33" s="287" customFormat="1" ht="13" x14ac:dyDescent="0.3">
      <c r="B173" s="326" t="str">
        <f>IF(C173="","Skip",IF(AND(Validator!G167=TRUE,Validator!G417=TRUE,Validator!G667=TRUE,Validator!G917=TRUE,Validator!G1167=TRUE,Validator!G1417=TRUE),"Valid","Invalid"))</f>
        <v>Skip</v>
      </c>
      <c r="C173" s="69"/>
      <c r="D173" s="389"/>
      <c r="E173" s="390"/>
      <c r="F173" s="519"/>
      <c r="G173" s="393"/>
      <c r="H173" s="519"/>
      <c r="I173" s="321"/>
      <c r="J173" s="395"/>
      <c r="K173" s="396"/>
      <c r="L173" s="397"/>
      <c r="M173" s="310"/>
      <c r="N173" s="400"/>
      <c r="O173" s="398" t="s">
        <v>278</v>
      </c>
      <c r="P173" s="399" t="s">
        <v>77</v>
      </c>
      <c r="Q173" s="317"/>
      <c r="R173" s="308"/>
      <c r="S173" s="308"/>
      <c r="T173" s="317"/>
      <c r="U173" s="324" t="str">
        <f>IF(ISERROR(VLOOKUP($T173, 'Reference data'!$J$2:$K$139, 2, FALSE)),"-",VLOOKUP($T173, 'Reference data'!$J$2:$K$139, 2, FALSE))</f>
        <v>-</v>
      </c>
      <c r="V173" s="308"/>
      <c r="W173" s="308"/>
      <c r="X173" s="312"/>
      <c r="Y173" s="313"/>
      <c r="Z173" s="69"/>
      <c r="AA173" s="341"/>
      <c r="AB173" s="82"/>
      <c r="AC173" s="71"/>
      <c r="AD173" s="319"/>
      <c r="AE173" s="226" t="s">
        <v>278</v>
      </c>
      <c r="AF173" s="230" t="s">
        <v>77</v>
      </c>
      <c r="AG173" s="322"/>
    </row>
    <row r="174" spans="2:33" s="287" customFormat="1" ht="13" x14ac:dyDescent="0.3">
      <c r="B174" s="326" t="str">
        <f>IF(C174="","Skip",IF(AND(Validator!G168=TRUE,Validator!G418=TRUE,Validator!G668=TRUE,Validator!G918=TRUE,Validator!G1168=TRUE,Validator!G1418=TRUE),"Valid","Invalid"))</f>
        <v>Skip</v>
      </c>
      <c r="C174" s="69"/>
      <c r="D174" s="389"/>
      <c r="E174" s="390"/>
      <c r="F174" s="519"/>
      <c r="G174" s="393"/>
      <c r="H174" s="519"/>
      <c r="I174" s="321"/>
      <c r="J174" s="395"/>
      <c r="K174" s="396"/>
      <c r="L174" s="397"/>
      <c r="M174" s="310"/>
      <c r="N174" s="400"/>
      <c r="O174" s="398" t="s">
        <v>278</v>
      </c>
      <c r="P174" s="399" t="s">
        <v>77</v>
      </c>
      <c r="Q174" s="317"/>
      <c r="R174" s="308"/>
      <c r="S174" s="308"/>
      <c r="T174" s="317"/>
      <c r="U174" s="324" t="str">
        <f>IF(ISERROR(VLOOKUP($T174, 'Reference data'!$J$2:$K$139, 2, FALSE)),"-",VLOOKUP($T174, 'Reference data'!$J$2:$K$139, 2, FALSE))</f>
        <v>-</v>
      </c>
      <c r="V174" s="308"/>
      <c r="W174" s="308"/>
      <c r="X174" s="312"/>
      <c r="Y174" s="313"/>
      <c r="Z174" s="69"/>
      <c r="AA174" s="341"/>
      <c r="AB174" s="82"/>
      <c r="AC174" s="71"/>
      <c r="AD174" s="319"/>
      <c r="AE174" s="226" t="s">
        <v>278</v>
      </c>
      <c r="AF174" s="230" t="s">
        <v>77</v>
      </c>
      <c r="AG174" s="322"/>
    </row>
    <row r="175" spans="2:33" s="287" customFormat="1" ht="13" x14ac:dyDescent="0.3">
      <c r="B175" s="326" t="str">
        <f>IF(C175="","Skip",IF(AND(Validator!G169=TRUE,Validator!G419=TRUE,Validator!G669=TRUE,Validator!G919=TRUE,Validator!G1169=TRUE,Validator!G1419=TRUE),"Valid","Invalid"))</f>
        <v>Skip</v>
      </c>
      <c r="C175" s="69"/>
      <c r="D175" s="389"/>
      <c r="E175" s="390"/>
      <c r="F175" s="519"/>
      <c r="G175" s="393"/>
      <c r="H175" s="519"/>
      <c r="I175" s="321"/>
      <c r="J175" s="395"/>
      <c r="K175" s="396"/>
      <c r="L175" s="397"/>
      <c r="M175" s="310"/>
      <c r="N175" s="400"/>
      <c r="O175" s="398" t="s">
        <v>278</v>
      </c>
      <c r="P175" s="399" t="s">
        <v>77</v>
      </c>
      <c r="Q175" s="317"/>
      <c r="R175" s="308"/>
      <c r="S175" s="308"/>
      <c r="T175" s="317"/>
      <c r="U175" s="324" t="str">
        <f>IF(ISERROR(VLOOKUP($T175, 'Reference data'!$J$2:$K$139, 2, FALSE)),"-",VLOOKUP($T175, 'Reference data'!$J$2:$K$139, 2, FALSE))</f>
        <v>-</v>
      </c>
      <c r="V175" s="308"/>
      <c r="W175" s="308"/>
      <c r="X175" s="312"/>
      <c r="Y175" s="313"/>
      <c r="Z175" s="69"/>
      <c r="AA175" s="341"/>
      <c r="AB175" s="82"/>
      <c r="AC175" s="71"/>
      <c r="AD175" s="319"/>
      <c r="AE175" s="226" t="s">
        <v>278</v>
      </c>
      <c r="AF175" s="230" t="s">
        <v>77</v>
      </c>
      <c r="AG175" s="322"/>
    </row>
    <row r="176" spans="2:33" s="287" customFormat="1" ht="13" x14ac:dyDescent="0.3">
      <c r="B176" s="326" t="str">
        <f>IF(C176="","Skip",IF(AND(Validator!G170=TRUE,Validator!G420=TRUE,Validator!G670=TRUE,Validator!G920=TRUE,Validator!G1170=TRUE,Validator!G1420=TRUE),"Valid","Invalid"))</f>
        <v>Skip</v>
      </c>
      <c r="C176" s="69"/>
      <c r="D176" s="389"/>
      <c r="E176" s="390"/>
      <c r="F176" s="519"/>
      <c r="G176" s="393"/>
      <c r="H176" s="519"/>
      <c r="I176" s="321"/>
      <c r="J176" s="395"/>
      <c r="K176" s="396"/>
      <c r="L176" s="397"/>
      <c r="M176" s="310"/>
      <c r="N176" s="400"/>
      <c r="O176" s="398" t="s">
        <v>278</v>
      </c>
      <c r="P176" s="399" t="s">
        <v>77</v>
      </c>
      <c r="Q176" s="317"/>
      <c r="R176" s="308"/>
      <c r="S176" s="308"/>
      <c r="T176" s="317"/>
      <c r="U176" s="324" t="str">
        <f>IF(ISERROR(VLOOKUP($T176, 'Reference data'!$J$2:$K$139, 2, FALSE)),"-",VLOOKUP($T176, 'Reference data'!$J$2:$K$139, 2, FALSE))</f>
        <v>-</v>
      </c>
      <c r="V176" s="308"/>
      <c r="W176" s="308"/>
      <c r="X176" s="312"/>
      <c r="Y176" s="313"/>
      <c r="Z176" s="69"/>
      <c r="AA176" s="341"/>
      <c r="AB176" s="82"/>
      <c r="AC176" s="71"/>
      <c r="AD176" s="319"/>
      <c r="AE176" s="226" t="s">
        <v>278</v>
      </c>
      <c r="AF176" s="230" t="s">
        <v>77</v>
      </c>
      <c r="AG176" s="322"/>
    </row>
    <row r="177" spans="2:33" s="287" customFormat="1" ht="13" x14ac:dyDescent="0.3">
      <c r="B177" s="326" t="str">
        <f>IF(C177="","Skip",IF(AND(Validator!G171=TRUE,Validator!G421=TRUE,Validator!G671=TRUE,Validator!G921=TRUE,Validator!G1171=TRUE,Validator!G1421=TRUE),"Valid","Invalid"))</f>
        <v>Skip</v>
      </c>
      <c r="C177" s="69"/>
      <c r="D177" s="389"/>
      <c r="E177" s="390"/>
      <c r="F177" s="519"/>
      <c r="G177" s="393"/>
      <c r="H177" s="519"/>
      <c r="I177" s="321"/>
      <c r="J177" s="395"/>
      <c r="K177" s="396"/>
      <c r="L177" s="397"/>
      <c r="M177" s="310"/>
      <c r="N177" s="400"/>
      <c r="O177" s="398" t="s">
        <v>278</v>
      </c>
      <c r="P177" s="399" t="s">
        <v>77</v>
      </c>
      <c r="Q177" s="317"/>
      <c r="R177" s="308"/>
      <c r="S177" s="308"/>
      <c r="T177" s="317"/>
      <c r="U177" s="324" t="str">
        <f>IF(ISERROR(VLOOKUP($T177, 'Reference data'!$J$2:$K$139, 2, FALSE)),"-",VLOOKUP($T177, 'Reference data'!$J$2:$K$139, 2, FALSE))</f>
        <v>-</v>
      </c>
      <c r="V177" s="308"/>
      <c r="W177" s="308"/>
      <c r="X177" s="312"/>
      <c r="Y177" s="313"/>
      <c r="Z177" s="69"/>
      <c r="AA177" s="341"/>
      <c r="AB177" s="82"/>
      <c r="AC177" s="71"/>
      <c r="AD177" s="319"/>
      <c r="AE177" s="226" t="s">
        <v>278</v>
      </c>
      <c r="AF177" s="230" t="s">
        <v>77</v>
      </c>
      <c r="AG177" s="322"/>
    </row>
    <row r="178" spans="2:33" s="287" customFormat="1" ht="13" x14ac:dyDescent="0.3">
      <c r="B178" s="326" t="str">
        <f>IF(C178="","Skip",IF(AND(Validator!G172=TRUE,Validator!G422=TRUE,Validator!G672=TRUE,Validator!G922=TRUE,Validator!G1172=TRUE,Validator!G1422=TRUE),"Valid","Invalid"))</f>
        <v>Skip</v>
      </c>
      <c r="C178" s="69"/>
      <c r="D178" s="389"/>
      <c r="E178" s="390"/>
      <c r="F178" s="519"/>
      <c r="G178" s="393"/>
      <c r="H178" s="519"/>
      <c r="I178" s="321"/>
      <c r="J178" s="395"/>
      <c r="K178" s="396"/>
      <c r="L178" s="397"/>
      <c r="M178" s="310"/>
      <c r="N178" s="400"/>
      <c r="O178" s="398" t="s">
        <v>278</v>
      </c>
      <c r="P178" s="399" t="s">
        <v>77</v>
      </c>
      <c r="Q178" s="317"/>
      <c r="R178" s="308"/>
      <c r="S178" s="308"/>
      <c r="T178" s="317"/>
      <c r="U178" s="324" t="str">
        <f>IF(ISERROR(VLOOKUP($T178, 'Reference data'!$J$2:$K$139, 2, FALSE)),"-",VLOOKUP($T178, 'Reference data'!$J$2:$K$139, 2, FALSE))</f>
        <v>-</v>
      </c>
      <c r="V178" s="308"/>
      <c r="W178" s="308"/>
      <c r="X178" s="312"/>
      <c r="Y178" s="313"/>
      <c r="Z178" s="69"/>
      <c r="AA178" s="341"/>
      <c r="AB178" s="82"/>
      <c r="AC178" s="71"/>
      <c r="AD178" s="319"/>
      <c r="AE178" s="226" t="s">
        <v>278</v>
      </c>
      <c r="AF178" s="230" t="s">
        <v>77</v>
      </c>
      <c r="AG178" s="322"/>
    </row>
    <row r="179" spans="2:33" s="287" customFormat="1" ht="13" x14ac:dyDescent="0.3">
      <c r="B179" s="326" t="str">
        <f>IF(C179="","Skip",IF(AND(Validator!G173=TRUE,Validator!G423=TRUE,Validator!G673=TRUE,Validator!G923=TRUE,Validator!G1173=TRUE,Validator!G1423=TRUE),"Valid","Invalid"))</f>
        <v>Skip</v>
      </c>
      <c r="C179" s="69"/>
      <c r="D179" s="389"/>
      <c r="E179" s="390"/>
      <c r="F179" s="519"/>
      <c r="G179" s="393"/>
      <c r="H179" s="519"/>
      <c r="I179" s="321"/>
      <c r="J179" s="395"/>
      <c r="K179" s="396"/>
      <c r="L179" s="397"/>
      <c r="M179" s="310"/>
      <c r="N179" s="400"/>
      <c r="O179" s="398" t="s">
        <v>278</v>
      </c>
      <c r="P179" s="399" t="s">
        <v>77</v>
      </c>
      <c r="Q179" s="317"/>
      <c r="R179" s="308"/>
      <c r="S179" s="308"/>
      <c r="T179" s="317"/>
      <c r="U179" s="324" t="str">
        <f>IF(ISERROR(VLOOKUP($T179, 'Reference data'!$J$2:$K$139, 2, FALSE)),"-",VLOOKUP($T179, 'Reference data'!$J$2:$K$139, 2, FALSE))</f>
        <v>-</v>
      </c>
      <c r="V179" s="308"/>
      <c r="W179" s="308"/>
      <c r="X179" s="312"/>
      <c r="Y179" s="313"/>
      <c r="Z179" s="69"/>
      <c r="AA179" s="341"/>
      <c r="AB179" s="82"/>
      <c r="AC179" s="71"/>
      <c r="AD179" s="319"/>
      <c r="AE179" s="226" t="s">
        <v>278</v>
      </c>
      <c r="AF179" s="230" t="s">
        <v>77</v>
      </c>
      <c r="AG179" s="322"/>
    </row>
    <row r="180" spans="2:33" s="287" customFormat="1" ht="13" x14ac:dyDescent="0.3">
      <c r="B180" s="326" t="str">
        <f>IF(C180="","Skip",IF(AND(Validator!G174=TRUE,Validator!G424=TRUE,Validator!G674=TRUE,Validator!G924=TRUE,Validator!G1174=TRUE,Validator!G1424=TRUE),"Valid","Invalid"))</f>
        <v>Skip</v>
      </c>
      <c r="C180" s="69"/>
      <c r="D180" s="389"/>
      <c r="E180" s="390"/>
      <c r="F180" s="519"/>
      <c r="G180" s="393"/>
      <c r="H180" s="519"/>
      <c r="I180" s="321"/>
      <c r="J180" s="395"/>
      <c r="K180" s="396"/>
      <c r="L180" s="397"/>
      <c r="M180" s="310"/>
      <c r="N180" s="400"/>
      <c r="O180" s="398" t="s">
        <v>278</v>
      </c>
      <c r="P180" s="399" t="s">
        <v>77</v>
      </c>
      <c r="Q180" s="317"/>
      <c r="R180" s="308"/>
      <c r="S180" s="308"/>
      <c r="T180" s="317"/>
      <c r="U180" s="324" t="str">
        <f>IF(ISERROR(VLOOKUP($T180, 'Reference data'!$J$2:$K$139, 2, FALSE)),"-",VLOOKUP($T180, 'Reference data'!$J$2:$K$139, 2, FALSE))</f>
        <v>-</v>
      </c>
      <c r="V180" s="308"/>
      <c r="W180" s="308"/>
      <c r="X180" s="312"/>
      <c r="Y180" s="313"/>
      <c r="Z180" s="69"/>
      <c r="AA180" s="341"/>
      <c r="AB180" s="82"/>
      <c r="AC180" s="71"/>
      <c r="AD180" s="319"/>
      <c r="AE180" s="226" t="s">
        <v>278</v>
      </c>
      <c r="AF180" s="230" t="s">
        <v>77</v>
      </c>
      <c r="AG180" s="322"/>
    </row>
    <row r="181" spans="2:33" s="287" customFormat="1" ht="13" x14ac:dyDescent="0.3">
      <c r="B181" s="326" t="str">
        <f>IF(C181="","Skip",IF(AND(Validator!G175=TRUE,Validator!G425=TRUE,Validator!G675=TRUE,Validator!G925=TRUE,Validator!G1175=TRUE,Validator!G1425=TRUE),"Valid","Invalid"))</f>
        <v>Skip</v>
      </c>
      <c r="C181" s="69"/>
      <c r="D181" s="389"/>
      <c r="E181" s="390"/>
      <c r="F181" s="519"/>
      <c r="G181" s="393"/>
      <c r="H181" s="519"/>
      <c r="I181" s="321"/>
      <c r="J181" s="395"/>
      <c r="K181" s="396"/>
      <c r="L181" s="397"/>
      <c r="M181" s="310"/>
      <c r="N181" s="400"/>
      <c r="O181" s="398" t="s">
        <v>278</v>
      </c>
      <c r="P181" s="399" t="s">
        <v>77</v>
      </c>
      <c r="Q181" s="317"/>
      <c r="R181" s="308"/>
      <c r="S181" s="308"/>
      <c r="T181" s="317"/>
      <c r="U181" s="324" t="str">
        <f>IF(ISERROR(VLOOKUP($T181, 'Reference data'!$J$2:$K$139, 2, FALSE)),"-",VLOOKUP($T181, 'Reference data'!$J$2:$K$139, 2, FALSE))</f>
        <v>-</v>
      </c>
      <c r="V181" s="308"/>
      <c r="W181" s="308"/>
      <c r="X181" s="312"/>
      <c r="Y181" s="313"/>
      <c r="Z181" s="69"/>
      <c r="AA181" s="341"/>
      <c r="AB181" s="82"/>
      <c r="AC181" s="71"/>
      <c r="AD181" s="319"/>
      <c r="AE181" s="226" t="s">
        <v>278</v>
      </c>
      <c r="AF181" s="230" t="s">
        <v>77</v>
      </c>
      <c r="AG181" s="322"/>
    </row>
    <row r="182" spans="2:33" s="287" customFormat="1" ht="13" x14ac:dyDescent="0.3">
      <c r="B182" s="326" t="str">
        <f>IF(C182="","Skip",IF(AND(Validator!G176=TRUE,Validator!G426=TRUE,Validator!G676=TRUE,Validator!G926=TRUE,Validator!G1176=TRUE,Validator!G1426=TRUE),"Valid","Invalid"))</f>
        <v>Skip</v>
      </c>
      <c r="C182" s="69"/>
      <c r="D182" s="389"/>
      <c r="E182" s="390"/>
      <c r="F182" s="519"/>
      <c r="G182" s="393"/>
      <c r="H182" s="519"/>
      <c r="I182" s="321"/>
      <c r="J182" s="395"/>
      <c r="K182" s="396"/>
      <c r="L182" s="397"/>
      <c r="M182" s="310"/>
      <c r="N182" s="400"/>
      <c r="O182" s="398" t="s">
        <v>278</v>
      </c>
      <c r="P182" s="399" t="s">
        <v>77</v>
      </c>
      <c r="Q182" s="317"/>
      <c r="R182" s="308"/>
      <c r="S182" s="308"/>
      <c r="T182" s="317"/>
      <c r="U182" s="324" t="str">
        <f>IF(ISERROR(VLOOKUP($T182, 'Reference data'!$J$2:$K$139, 2, FALSE)),"-",VLOOKUP($T182, 'Reference data'!$J$2:$K$139, 2, FALSE))</f>
        <v>-</v>
      </c>
      <c r="V182" s="308"/>
      <c r="W182" s="308"/>
      <c r="X182" s="312"/>
      <c r="Y182" s="313"/>
      <c r="Z182" s="69"/>
      <c r="AA182" s="341"/>
      <c r="AB182" s="82"/>
      <c r="AC182" s="71"/>
      <c r="AD182" s="319"/>
      <c r="AE182" s="226" t="s">
        <v>278</v>
      </c>
      <c r="AF182" s="230" t="s">
        <v>77</v>
      </c>
      <c r="AG182" s="322"/>
    </row>
    <row r="183" spans="2:33" s="287" customFormat="1" ht="13" x14ac:dyDescent="0.3">
      <c r="B183" s="326" t="str">
        <f>IF(C183="","Skip",IF(AND(Validator!G177=TRUE,Validator!G427=TRUE,Validator!G677=TRUE,Validator!G927=TRUE,Validator!G1177=TRUE,Validator!G1427=TRUE),"Valid","Invalid"))</f>
        <v>Skip</v>
      </c>
      <c r="C183" s="69"/>
      <c r="D183" s="389"/>
      <c r="E183" s="390"/>
      <c r="F183" s="519"/>
      <c r="G183" s="393"/>
      <c r="H183" s="519"/>
      <c r="I183" s="321"/>
      <c r="J183" s="395"/>
      <c r="K183" s="396"/>
      <c r="L183" s="397"/>
      <c r="M183" s="310"/>
      <c r="N183" s="400"/>
      <c r="O183" s="398" t="s">
        <v>278</v>
      </c>
      <c r="P183" s="399" t="s">
        <v>77</v>
      </c>
      <c r="Q183" s="317"/>
      <c r="R183" s="308"/>
      <c r="S183" s="308"/>
      <c r="T183" s="317"/>
      <c r="U183" s="324" t="str">
        <f>IF(ISERROR(VLOOKUP($T183, 'Reference data'!$J$2:$K$139, 2, FALSE)),"-",VLOOKUP($T183, 'Reference data'!$J$2:$K$139, 2, FALSE))</f>
        <v>-</v>
      </c>
      <c r="V183" s="308"/>
      <c r="W183" s="308"/>
      <c r="X183" s="312"/>
      <c r="Y183" s="313"/>
      <c r="Z183" s="69"/>
      <c r="AA183" s="341"/>
      <c r="AB183" s="82"/>
      <c r="AC183" s="71"/>
      <c r="AD183" s="319"/>
      <c r="AE183" s="226" t="s">
        <v>278</v>
      </c>
      <c r="AF183" s="230" t="s">
        <v>77</v>
      </c>
      <c r="AG183" s="322"/>
    </row>
    <row r="184" spans="2:33" s="287" customFormat="1" ht="13" x14ac:dyDescent="0.3">
      <c r="B184" s="326" t="str">
        <f>IF(C184="","Skip",IF(AND(Validator!G178=TRUE,Validator!G428=TRUE,Validator!G678=TRUE,Validator!G928=TRUE,Validator!G1178=TRUE,Validator!G1428=TRUE),"Valid","Invalid"))</f>
        <v>Skip</v>
      </c>
      <c r="C184" s="69"/>
      <c r="D184" s="389"/>
      <c r="E184" s="390"/>
      <c r="F184" s="519"/>
      <c r="G184" s="393"/>
      <c r="H184" s="519"/>
      <c r="I184" s="321"/>
      <c r="J184" s="395"/>
      <c r="K184" s="396"/>
      <c r="L184" s="397"/>
      <c r="M184" s="310"/>
      <c r="N184" s="400"/>
      <c r="O184" s="398" t="s">
        <v>278</v>
      </c>
      <c r="P184" s="399" t="s">
        <v>77</v>
      </c>
      <c r="Q184" s="317"/>
      <c r="R184" s="308"/>
      <c r="S184" s="308"/>
      <c r="T184" s="317"/>
      <c r="U184" s="324" t="str">
        <f>IF(ISERROR(VLOOKUP($T184, 'Reference data'!$J$2:$K$139, 2, FALSE)),"-",VLOOKUP($T184, 'Reference data'!$J$2:$K$139, 2, FALSE))</f>
        <v>-</v>
      </c>
      <c r="V184" s="308"/>
      <c r="W184" s="308"/>
      <c r="X184" s="312"/>
      <c r="Y184" s="313"/>
      <c r="Z184" s="69"/>
      <c r="AA184" s="341"/>
      <c r="AB184" s="82"/>
      <c r="AC184" s="71"/>
      <c r="AD184" s="319"/>
      <c r="AE184" s="226" t="s">
        <v>278</v>
      </c>
      <c r="AF184" s="230" t="s">
        <v>77</v>
      </c>
      <c r="AG184" s="322"/>
    </row>
    <row r="185" spans="2:33" s="287" customFormat="1" ht="13" x14ac:dyDescent="0.3">
      <c r="B185" s="326" t="str">
        <f>IF(C185="","Skip",IF(AND(Validator!G179=TRUE,Validator!G429=TRUE,Validator!G679=TRUE,Validator!G929=TRUE,Validator!G1179=TRUE,Validator!G1429=TRUE),"Valid","Invalid"))</f>
        <v>Skip</v>
      </c>
      <c r="C185" s="69"/>
      <c r="D185" s="389"/>
      <c r="E185" s="390"/>
      <c r="F185" s="519"/>
      <c r="G185" s="393"/>
      <c r="H185" s="519"/>
      <c r="I185" s="321"/>
      <c r="J185" s="395"/>
      <c r="K185" s="396"/>
      <c r="L185" s="397"/>
      <c r="M185" s="310"/>
      <c r="N185" s="400"/>
      <c r="O185" s="398" t="s">
        <v>278</v>
      </c>
      <c r="P185" s="399" t="s">
        <v>77</v>
      </c>
      <c r="Q185" s="317"/>
      <c r="R185" s="308"/>
      <c r="S185" s="308"/>
      <c r="T185" s="317"/>
      <c r="U185" s="324" t="str">
        <f>IF(ISERROR(VLOOKUP($T185, 'Reference data'!$J$2:$K$139, 2, FALSE)),"-",VLOOKUP($T185, 'Reference data'!$J$2:$K$139, 2, FALSE))</f>
        <v>-</v>
      </c>
      <c r="V185" s="308"/>
      <c r="W185" s="308"/>
      <c r="X185" s="312"/>
      <c r="Y185" s="313"/>
      <c r="Z185" s="69"/>
      <c r="AA185" s="341"/>
      <c r="AB185" s="82"/>
      <c r="AC185" s="71"/>
      <c r="AD185" s="319"/>
      <c r="AE185" s="226" t="s">
        <v>278</v>
      </c>
      <c r="AF185" s="230" t="s">
        <v>77</v>
      </c>
      <c r="AG185" s="322"/>
    </row>
    <row r="186" spans="2:33" s="287" customFormat="1" ht="13" x14ac:dyDescent="0.3">
      <c r="B186" s="326" t="str">
        <f>IF(C186="","Skip",IF(AND(Validator!G180=TRUE,Validator!G430=TRUE,Validator!G680=TRUE,Validator!G930=TRUE,Validator!G1180=TRUE,Validator!G1430=TRUE),"Valid","Invalid"))</f>
        <v>Skip</v>
      </c>
      <c r="C186" s="69"/>
      <c r="D186" s="389"/>
      <c r="E186" s="390"/>
      <c r="F186" s="519"/>
      <c r="G186" s="393"/>
      <c r="H186" s="519"/>
      <c r="I186" s="321"/>
      <c r="J186" s="395"/>
      <c r="K186" s="396"/>
      <c r="L186" s="397"/>
      <c r="M186" s="310"/>
      <c r="N186" s="400"/>
      <c r="O186" s="398" t="s">
        <v>278</v>
      </c>
      <c r="P186" s="399" t="s">
        <v>77</v>
      </c>
      <c r="Q186" s="317"/>
      <c r="R186" s="308"/>
      <c r="S186" s="308"/>
      <c r="T186" s="317"/>
      <c r="U186" s="324" t="str">
        <f>IF(ISERROR(VLOOKUP($T186, 'Reference data'!$J$2:$K$139, 2, FALSE)),"-",VLOOKUP($T186, 'Reference data'!$J$2:$K$139, 2, FALSE))</f>
        <v>-</v>
      </c>
      <c r="V186" s="308"/>
      <c r="W186" s="308"/>
      <c r="X186" s="312"/>
      <c r="Y186" s="313"/>
      <c r="Z186" s="69"/>
      <c r="AA186" s="341"/>
      <c r="AB186" s="82"/>
      <c r="AC186" s="71"/>
      <c r="AD186" s="319"/>
      <c r="AE186" s="226" t="s">
        <v>278</v>
      </c>
      <c r="AF186" s="230" t="s">
        <v>77</v>
      </c>
      <c r="AG186" s="322"/>
    </row>
    <row r="187" spans="2:33" s="287" customFormat="1" ht="13" x14ac:dyDescent="0.3">
      <c r="B187" s="326" t="str">
        <f>IF(C187="","Skip",IF(AND(Validator!G181=TRUE,Validator!G431=TRUE,Validator!G681=TRUE,Validator!G931=TRUE,Validator!G1181=TRUE,Validator!G1431=TRUE),"Valid","Invalid"))</f>
        <v>Skip</v>
      </c>
      <c r="C187" s="69"/>
      <c r="D187" s="389"/>
      <c r="E187" s="390"/>
      <c r="F187" s="519"/>
      <c r="G187" s="393"/>
      <c r="H187" s="519"/>
      <c r="I187" s="321"/>
      <c r="J187" s="395"/>
      <c r="K187" s="396"/>
      <c r="L187" s="397"/>
      <c r="M187" s="310"/>
      <c r="N187" s="400"/>
      <c r="O187" s="398" t="s">
        <v>278</v>
      </c>
      <c r="P187" s="399" t="s">
        <v>77</v>
      </c>
      <c r="Q187" s="317"/>
      <c r="R187" s="308"/>
      <c r="S187" s="308"/>
      <c r="T187" s="317"/>
      <c r="U187" s="324" t="str">
        <f>IF(ISERROR(VLOOKUP($T187, 'Reference data'!$J$2:$K$139, 2, FALSE)),"-",VLOOKUP($T187, 'Reference data'!$J$2:$K$139, 2, FALSE))</f>
        <v>-</v>
      </c>
      <c r="V187" s="308"/>
      <c r="W187" s="308"/>
      <c r="X187" s="312"/>
      <c r="Y187" s="313"/>
      <c r="Z187" s="69"/>
      <c r="AA187" s="341"/>
      <c r="AB187" s="82"/>
      <c r="AC187" s="71"/>
      <c r="AD187" s="319"/>
      <c r="AE187" s="226" t="s">
        <v>278</v>
      </c>
      <c r="AF187" s="230" t="s">
        <v>77</v>
      </c>
      <c r="AG187" s="322"/>
    </row>
    <row r="188" spans="2:33" s="287" customFormat="1" ht="13" x14ac:dyDescent="0.3">
      <c r="B188" s="326" t="str">
        <f>IF(C188="","Skip",IF(AND(Validator!G182=TRUE,Validator!G432=TRUE,Validator!G682=TRUE,Validator!G932=TRUE,Validator!G1182=TRUE,Validator!G1432=TRUE),"Valid","Invalid"))</f>
        <v>Skip</v>
      </c>
      <c r="C188" s="69"/>
      <c r="D188" s="389"/>
      <c r="E188" s="390"/>
      <c r="F188" s="519"/>
      <c r="G188" s="393"/>
      <c r="H188" s="519"/>
      <c r="I188" s="321"/>
      <c r="J188" s="395"/>
      <c r="K188" s="396"/>
      <c r="L188" s="397"/>
      <c r="M188" s="310"/>
      <c r="N188" s="400"/>
      <c r="O188" s="398" t="s">
        <v>278</v>
      </c>
      <c r="P188" s="399" t="s">
        <v>77</v>
      </c>
      <c r="Q188" s="317"/>
      <c r="R188" s="308"/>
      <c r="S188" s="308"/>
      <c r="T188" s="317"/>
      <c r="U188" s="324" t="str">
        <f>IF(ISERROR(VLOOKUP($T188, 'Reference data'!$J$2:$K$139, 2, FALSE)),"-",VLOOKUP($T188, 'Reference data'!$J$2:$K$139, 2, FALSE))</f>
        <v>-</v>
      </c>
      <c r="V188" s="308"/>
      <c r="W188" s="308"/>
      <c r="X188" s="312"/>
      <c r="Y188" s="313"/>
      <c r="Z188" s="69"/>
      <c r="AA188" s="341"/>
      <c r="AB188" s="82"/>
      <c r="AC188" s="71"/>
      <c r="AD188" s="319"/>
      <c r="AE188" s="226" t="s">
        <v>278</v>
      </c>
      <c r="AF188" s="230" t="s">
        <v>77</v>
      </c>
      <c r="AG188" s="322"/>
    </row>
    <row r="189" spans="2:33" s="287" customFormat="1" ht="13" x14ac:dyDescent="0.3">
      <c r="B189" s="326" t="str">
        <f>IF(C189="","Skip",IF(AND(Validator!G183=TRUE,Validator!G433=TRUE,Validator!G683=TRUE,Validator!G933=TRUE,Validator!G1183=TRUE,Validator!G1433=TRUE),"Valid","Invalid"))</f>
        <v>Skip</v>
      </c>
      <c r="C189" s="69"/>
      <c r="D189" s="389"/>
      <c r="E189" s="390"/>
      <c r="F189" s="519"/>
      <c r="G189" s="393"/>
      <c r="H189" s="519"/>
      <c r="I189" s="321"/>
      <c r="J189" s="395"/>
      <c r="K189" s="396"/>
      <c r="L189" s="397"/>
      <c r="M189" s="310"/>
      <c r="N189" s="400"/>
      <c r="O189" s="398" t="s">
        <v>278</v>
      </c>
      <c r="P189" s="399" t="s">
        <v>77</v>
      </c>
      <c r="Q189" s="317"/>
      <c r="R189" s="308"/>
      <c r="S189" s="308"/>
      <c r="T189" s="317"/>
      <c r="U189" s="324" t="str">
        <f>IF(ISERROR(VLOOKUP($T189, 'Reference data'!$J$2:$K$139, 2, FALSE)),"-",VLOOKUP($T189, 'Reference data'!$J$2:$K$139, 2, FALSE))</f>
        <v>-</v>
      </c>
      <c r="V189" s="308"/>
      <c r="W189" s="308"/>
      <c r="X189" s="312"/>
      <c r="Y189" s="313"/>
      <c r="Z189" s="69"/>
      <c r="AA189" s="341"/>
      <c r="AB189" s="82"/>
      <c r="AC189" s="71"/>
      <c r="AD189" s="319"/>
      <c r="AE189" s="226" t="s">
        <v>278</v>
      </c>
      <c r="AF189" s="230" t="s">
        <v>77</v>
      </c>
      <c r="AG189" s="322"/>
    </row>
    <row r="190" spans="2:33" s="287" customFormat="1" ht="13" x14ac:dyDescent="0.3">
      <c r="B190" s="326" t="str">
        <f>IF(C190="","Skip",IF(AND(Validator!G184=TRUE,Validator!G434=TRUE,Validator!G684=TRUE,Validator!G934=TRUE,Validator!G1184=TRUE,Validator!G1434=TRUE),"Valid","Invalid"))</f>
        <v>Skip</v>
      </c>
      <c r="C190" s="69"/>
      <c r="D190" s="389"/>
      <c r="E190" s="390"/>
      <c r="F190" s="519"/>
      <c r="G190" s="393"/>
      <c r="H190" s="519"/>
      <c r="I190" s="321"/>
      <c r="J190" s="395"/>
      <c r="K190" s="396"/>
      <c r="L190" s="397"/>
      <c r="M190" s="310"/>
      <c r="N190" s="400"/>
      <c r="O190" s="398" t="s">
        <v>278</v>
      </c>
      <c r="P190" s="399" t="s">
        <v>77</v>
      </c>
      <c r="Q190" s="317"/>
      <c r="R190" s="308"/>
      <c r="S190" s="308"/>
      <c r="T190" s="317"/>
      <c r="U190" s="324" t="str">
        <f>IF(ISERROR(VLOOKUP($T190, 'Reference data'!$J$2:$K$139, 2, FALSE)),"-",VLOOKUP($T190, 'Reference data'!$J$2:$K$139, 2, FALSE))</f>
        <v>-</v>
      </c>
      <c r="V190" s="308"/>
      <c r="W190" s="308"/>
      <c r="X190" s="312"/>
      <c r="Y190" s="313"/>
      <c r="Z190" s="69"/>
      <c r="AA190" s="341"/>
      <c r="AB190" s="82"/>
      <c r="AC190" s="71"/>
      <c r="AD190" s="319"/>
      <c r="AE190" s="226" t="s">
        <v>278</v>
      </c>
      <c r="AF190" s="230" t="s">
        <v>77</v>
      </c>
      <c r="AG190" s="322"/>
    </row>
    <row r="191" spans="2:33" s="287" customFormat="1" ht="13" x14ac:dyDescent="0.3">
      <c r="B191" s="326" t="str">
        <f>IF(C191="","Skip",IF(AND(Validator!G185=TRUE,Validator!G435=TRUE,Validator!G685=TRUE,Validator!G935=TRUE,Validator!G1185=TRUE,Validator!G1435=TRUE),"Valid","Invalid"))</f>
        <v>Skip</v>
      </c>
      <c r="C191" s="69"/>
      <c r="D191" s="389"/>
      <c r="E191" s="390"/>
      <c r="F191" s="519"/>
      <c r="G191" s="393"/>
      <c r="H191" s="519"/>
      <c r="I191" s="321"/>
      <c r="J191" s="395"/>
      <c r="K191" s="396"/>
      <c r="L191" s="397"/>
      <c r="M191" s="310"/>
      <c r="N191" s="400"/>
      <c r="O191" s="398" t="s">
        <v>278</v>
      </c>
      <c r="P191" s="399" t="s">
        <v>77</v>
      </c>
      <c r="Q191" s="317"/>
      <c r="R191" s="308"/>
      <c r="S191" s="308"/>
      <c r="T191" s="317"/>
      <c r="U191" s="324" t="str">
        <f>IF(ISERROR(VLOOKUP($T191, 'Reference data'!$J$2:$K$139, 2, FALSE)),"-",VLOOKUP($T191, 'Reference data'!$J$2:$K$139, 2, FALSE))</f>
        <v>-</v>
      </c>
      <c r="V191" s="308"/>
      <c r="W191" s="308"/>
      <c r="X191" s="312"/>
      <c r="Y191" s="313"/>
      <c r="Z191" s="69"/>
      <c r="AA191" s="341"/>
      <c r="AB191" s="82"/>
      <c r="AC191" s="71"/>
      <c r="AD191" s="319"/>
      <c r="AE191" s="226" t="s">
        <v>278</v>
      </c>
      <c r="AF191" s="230" t="s">
        <v>77</v>
      </c>
      <c r="AG191" s="322"/>
    </row>
    <row r="192" spans="2:33" s="287" customFormat="1" ht="13" x14ac:dyDescent="0.3">
      <c r="B192" s="326" t="str">
        <f>IF(C192="","Skip",IF(AND(Validator!G186=TRUE,Validator!G436=TRUE,Validator!G686=TRUE,Validator!G936=TRUE,Validator!G1186=TRUE,Validator!G1436=TRUE),"Valid","Invalid"))</f>
        <v>Skip</v>
      </c>
      <c r="C192" s="69"/>
      <c r="D192" s="389"/>
      <c r="E192" s="390"/>
      <c r="F192" s="519"/>
      <c r="G192" s="393"/>
      <c r="H192" s="519"/>
      <c r="I192" s="321"/>
      <c r="J192" s="395"/>
      <c r="K192" s="396"/>
      <c r="L192" s="397"/>
      <c r="M192" s="310"/>
      <c r="N192" s="400"/>
      <c r="O192" s="398" t="s">
        <v>278</v>
      </c>
      <c r="P192" s="399" t="s">
        <v>77</v>
      </c>
      <c r="Q192" s="317"/>
      <c r="R192" s="308"/>
      <c r="S192" s="308"/>
      <c r="T192" s="317"/>
      <c r="U192" s="324" t="str">
        <f>IF(ISERROR(VLOOKUP($T192, 'Reference data'!$J$2:$K$139, 2, FALSE)),"-",VLOOKUP($T192, 'Reference data'!$J$2:$K$139, 2, FALSE))</f>
        <v>-</v>
      </c>
      <c r="V192" s="308"/>
      <c r="W192" s="308"/>
      <c r="X192" s="312"/>
      <c r="Y192" s="313"/>
      <c r="Z192" s="69"/>
      <c r="AA192" s="341"/>
      <c r="AB192" s="82"/>
      <c r="AC192" s="71"/>
      <c r="AD192" s="319"/>
      <c r="AE192" s="226" t="s">
        <v>278</v>
      </c>
      <c r="AF192" s="230" t="s">
        <v>77</v>
      </c>
      <c r="AG192" s="322"/>
    </row>
    <row r="193" spans="2:33" s="287" customFormat="1" ht="13" x14ac:dyDescent="0.3">
      <c r="B193" s="326" t="str">
        <f>IF(C193="","Skip",IF(AND(Validator!G187=TRUE,Validator!G437=TRUE,Validator!G687=TRUE,Validator!G937=TRUE,Validator!G1187=TRUE,Validator!G1437=TRUE),"Valid","Invalid"))</f>
        <v>Skip</v>
      </c>
      <c r="C193" s="69"/>
      <c r="D193" s="389"/>
      <c r="E193" s="390"/>
      <c r="F193" s="519"/>
      <c r="G193" s="393"/>
      <c r="H193" s="519"/>
      <c r="I193" s="321"/>
      <c r="J193" s="395"/>
      <c r="K193" s="396"/>
      <c r="L193" s="397"/>
      <c r="M193" s="310"/>
      <c r="N193" s="400"/>
      <c r="O193" s="398" t="s">
        <v>278</v>
      </c>
      <c r="P193" s="399" t="s">
        <v>77</v>
      </c>
      <c r="Q193" s="317"/>
      <c r="R193" s="308"/>
      <c r="S193" s="308"/>
      <c r="T193" s="317"/>
      <c r="U193" s="324" t="str">
        <f>IF(ISERROR(VLOOKUP($T193, 'Reference data'!$J$2:$K$139, 2, FALSE)),"-",VLOOKUP($T193, 'Reference data'!$J$2:$K$139, 2, FALSE))</f>
        <v>-</v>
      </c>
      <c r="V193" s="308"/>
      <c r="W193" s="308"/>
      <c r="X193" s="312"/>
      <c r="Y193" s="313"/>
      <c r="Z193" s="69"/>
      <c r="AA193" s="341"/>
      <c r="AB193" s="82"/>
      <c r="AC193" s="71"/>
      <c r="AD193" s="319"/>
      <c r="AE193" s="226" t="s">
        <v>278</v>
      </c>
      <c r="AF193" s="230" t="s">
        <v>77</v>
      </c>
      <c r="AG193" s="322"/>
    </row>
    <row r="194" spans="2:33" s="287" customFormat="1" ht="13" x14ac:dyDescent="0.3">
      <c r="B194" s="326" t="str">
        <f>IF(C194="","Skip",IF(AND(Validator!G188=TRUE,Validator!G438=TRUE,Validator!G688=TRUE,Validator!G938=TRUE,Validator!G1188=TRUE,Validator!G1438=TRUE),"Valid","Invalid"))</f>
        <v>Skip</v>
      </c>
      <c r="C194" s="69"/>
      <c r="D194" s="389"/>
      <c r="E194" s="390"/>
      <c r="F194" s="519"/>
      <c r="G194" s="393"/>
      <c r="H194" s="519"/>
      <c r="I194" s="321"/>
      <c r="J194" s="395"/>
      <c r="K194" s="396"/>
      <c r="L194" s="397"/>
      <c r="M194" s="310"/>
      <c r="N194" s="400"/>
      <c r="O194" s="398" t="s">
        <v>278</v>
      </c>
      <c r="P194" s="399" t="s">
        <v>77</v>
      </c>
      <c r="Q194" s="317"/>
      <c r="R194" s="308"/>
      <c r="S194" s="308"/>
      <c r="T194" s="317"/>
      <c r="U194" s="324" t="str">
        <f>IF(ISERROR(VLOOKUP($T194, 'Reference data'!$J$2:$K$139, 2, FALSE)),"-",VLOOKUP($T194, 'Reference data'!$J$2:$K$139, 2, FALSE))</f>
        <v>-</v>
      </c>
      <c r="V194" s="308"/>
      <c r="W194" s="308"/>
      <c r="X194" s="312"/>
      <c r="Y194" s="313"/>
      <c r="Z194" s="69"/>
      <c r="AA194" s="341"/>
      <c r="AB194" s="82"/>
      <c r="AC194" s="71"/>
      <c r="AD194" s="319"/>
      <c r="AE194" s="226" t="s">
        <v>278</v>
      </c>
      <c r="AF194" s="230" t="s">
        <v>77</v>
      </c>
      <c r="AG194" s="322"/>
    </row>
    <row r="195" spans="2:33" s="287" customFormat="1" ht="13" x14ac:dyDescent="0.3">
      <c r="B195" s="326" t="str">
        <f>IF(C195="","Skip",IF(AND(Validator!G189=TRUE,Validator!G439=TRUE,Validator!G689=TRUE,Validator!G939=TRUE,Validator!G1189=TRUE,Validator!G1439=TRUE),"Valid","Invalid"))</f>
        <v>Skip</v>
      </c>
      <c r="C195" s="69"/>
      <c r="D195" s="389"/>
      <c r="E195" s="390"/>
      <c r="F195" s="519"/>
      <c r="G195" s="393"/>
      <c r="H195" s="519"/>
      <c r="I195" s="321"/>
      <c r="J195" s="395"/>
      <c r="K195" s="396"/>
      <c r="L195" s="397"/>
      <c r="M195" s="310"/>
      <c r="N195" s="400"/>
      <c r="O195" s="398" t="s">
        <v>278</v>
      </c>
      <c r="P195" s="399" t="s">
        <v>77</v>
      </c>
      <c r="Q195" s="317"/>
      <c r="R195" s="308"/>
      <c r="S195" s="308"/>
      <c r="T195" s="317"/>
      <c r="U195" s="324" t="str">
        <f>IF(ISERROR(VLOOKUP($T195, 'Reference data'!$J$2:$K$139, 2, FALSE)),"-",VLOOKUP($T195, 'Reference data'!$J$2:$K$139, 2, FALSE))</f>
        <v>-</v>
      </c>
      <c r="V195" s="308"/>
      <c r="W195" s="308"/>
      <c r="X195" s="312"/>
      <c r="Y195" s="313"/>
      <c r="Z195" s="69"/>
      <c r="AA195" s="341"/>
      <c r="AB195" s="82"/>
      <c r="AC195" s="71"/>
      <c r="AD195" s="319"/>
      <c r="AE195" s="226" t="s">
        <v>278</v>
      </c>
      <c r="AF195" s="230" t="s">
        <v>77</v>
      </c>
      <c r="AG195" s="322"/>
    </row>
    <row r="196" spans="2:33" s="287" customFormat="1" ht="13" x14ac:dyDescent="0.3">
      <c r="B196" s="326" t="str">
        <f>IF(C196="","Skip",IF(AND(Validator!G190=TRUE,Validator!G440=TRUE,Validator!G690=TRUE,Validator!G940=TRUE,Validator!G1190=TRUE,Validator!G1440=TRUE),"Valid","Invalid"))</f>
        <v>Skip</v>
      </c>
      <c r="C196" s="69"/>
      <c r="D196" s="389"/>
      <c r="E196" s="390"/>
      <c r="F196" s="519"/>
      <c r="G196" s="393"/>
      <c r="H196" s="519"/>
      <c r="I196" s="321"/>
      <c r="J196" s="395"/>
      <c r="K196" s="396"/>
      <c r="L196" s="397"/>
      <c r="M196" s="310"/>
      <c r="N196" s="400"/>
      <c r="O196" s="398" t="s">
        <v>278</v>
      </c>
      <c r="P196" s="399" t="s">
        <v>77</v>
      </c>
      <c r="Q196" s="317"/>
      <c r="R196" s="308"/>
      <c r="S196" s="308"/>
      <c r="T196" s="317"/>
      <c r="U196" s="324" t="str">
        <f>IF(ISERROR(VLOOKUP($T196, 'Reference data'!$J$2:$K$139, 2, FALSE)),"-",VLOOKUP($T196, 'Reference data'!$J$2:$K$139, 2, FALSE))</f>
        <v>-</v>
      </c>
      <c r="V196" s="308"/>
      <c r="W196" s="308"/>
      <c r="X196" s="312"/>
      <c r="Y196" s="313"/>
      <c r="Z196" s="69"/>
      <c r="AA196" s="341"/>
      <c r="AB196" s="82"/>
      <c r="AC196" s="71"/>
      <c r="AD196" s="319"/>
      <c r="AE196" s="226" t="s">
        <v>278</v>
      </c>
      <c r="AF196" s="230" t="s">
        <v>77</v>
      </c>
      <c r="AG196" s="322"/>
    </row>
    <row r="197" spans="2:33" s="287" customFormat="1" ht="13" x14ac:dyDescent="0.3">
      <c r="B197" s="326" t="str">
        <f>IF(C197="","Skip",IF(AND(Validator!G191=TRUE,Validator!G441=TRUE,Validator!G691=TRUE,Validator!G941=TRUE,Validator!G1191=TRUE,Validator!G1441=TRUE),"Valid","Invalid"))</f>
        <v>Skip</v>
      </c>
      <c r="C197" s="69"/>
      <c r="D197" s="389"/>
      <c r="E197" s="390"/>
      <c r="F197" s="519"/>
      <c r="G197" s="393"/>
      <c r="H197" s="519"/>
      <c r="I197" s="321"/>
      <c r="J197" s="395"/>
      <c r="K197" s="396"/>
      <c r="L197" s="397"/>
      <c r="M197" s="310"/>
      <c r="N197" s="400"/>
      <c r="O197" s="398" t="s">
        <v>278</v>
      </c>
      <c r="P197" s="399" t="s">
        <v>77</v>
      </c>
      <c r="Q197" s="317"/>
      <c r="R197" s="308"/>
      <c r="S197" s="308"/>
      <c r="T197" s="317"/>
      <c r="U197" s="324" t="str">
        <f>IF(ISERROR(VLOOKUP($T197, 'Reference data'!$J$2:$K$139, 2, FALSE)),"-",VLOOKUP($T197, 'Reference data'!$J$2:$K$139, 2, FALSE))</f>
        <v>-</v>
      </c>
      <c r="V197" s="308"/>
      <c r="W197" s="308"/>
      <c r="X197" s="312"/>
      <c r="Y197" s="313"/>
      <c r="Z197" s="69"/>
      <c r="AA197" s="341"/>
      <c r="AB197" s="82"/>
      <c r="AC197" s="71"/>
      <c r="AD197" s="319"/>
      <c r="AE197" s="226" t="s">
        <v>278</v>
      </c>
      <c r="AF197" s="230" t="s">
        <v>77</v>
      </c>
      <c r="AG197" s="322"/>
    </row>
    <row r="198" spans="2:33" s="287" customFormat="1" ht="13" x14ac:dyDescent="0.3">
      <c r="B198" s="326" t="str">
        <f>IF(C198="","Skip",IF(AND(Validator!G192=TRUE,Validator!G442=TRUE,Validator!G692=TRUE,Validator!G942=TRUE,Validator!G1192=TRUE,Validator!G1442=TRUE),"Valid","Invalid"))</f>
        <v>Skip</v>
      </c>
      <c r="C198" s="69"/>
      <c r="D198" s="389"/>
      <c r="E198" s="390"/>
      <c r="F198" s="519"/>
      <c r="G198" s="393"/>
      <c r="H198" s="519"/>
      <c r="I198" s="321"/>
      <c r="J198" s="395"/>
      <c r="K198" s="396"/>
      <c r="L198" s="397"/>
      <c r="M198" s="310"/>
      <c r="N198" s="400"/>
      <c r="O198" s="398" t="s">
        <v>278</v>
      </c>
      <c r="P198" s="399" t="s">
        <v>77</v>
      </c>
      <c r="Q198" s="317"/>
      <c r="R198" s="308"/>
      <c r="S198" s="308"/>
      <c r="T198" s="317"/>
      <c r="U198" s="324" t="str">
        <f>IF(ISERROR(VLOOKUP($T198, 'Reference data'!$J$2:$K$139, 2, FALSE)),"-",VLOOKUP($T198, 'Reference data'!$J$2:$K$139, 2, FALSE))</f>
        <v>-</v>
      </c>
      <c r="V198" s="308"/>
      <c r="W198" s="308"/>
      <c r="X198" s="312"/>
      <c r="Y198" s="313"/>
      <c r="Z198" s="69"/>
      <c r="AA198" s="341"/>
      <c r="AB198" s="82"/>
      <c r="AC198" s="71"/>
      <c r="AD198" s="319"/>
      <c r="AE198" s="226" t="s">
        <v>278</v>
      </c>
      <c r="AF198" s="230" t="s">
        <v>77</v>
      </c>
      <c r="AG198" s="322"/>
    </row>
    <row r="199" spans="2:33" s="287" customFormat="1" ht="13" x14ac:dyDescent="0.3">
      <c r="B199" s="326" t="str">
        <f>IF(C199="","Skip",IF(AND(Validator!G193=TRUE,Validator!G443=TRUE,Validator!G693=TRUE,Validator!G943=TRUE,Validator!G1193=TRUE,Validator!G1443=TRUE),"Valid","Invalid"))</f>
        <v>Skip</v>
      </c>
      <c r="C199" s="69"/>
      <c r="D199" s="389"/>
      <c r="E199" s="390"/>
      <c r="F199" s="519"/>
      <c r="G199" s="393"/>
      <c r="H199" s="519"/>
      <c r="I199" s="321"/>
      <c r="J199" s="395"/>
      <c r="K199" s="396"/>
      <c r="L199" s="397"/>
      <c r="M199" s="310"/>
      <c r="N199" s="400"/>
      <c r="O199" s="398" t="s">
        <v>278</v>
      </c>
      <c r="P199" s="399" t="s">
        <v>77</v>
      </c>
      <c r="Q199" s="317"/>
      <c r="R199" s="308"/>
      <c r="S199" s="308"/>
      <c r="T199" s="317"/>
      <c r="U199" s="324" t="str">
        <f>IF(ISERROR(VLOOKUP($T199, 'Reference data'!$J$2:$K$139, 2, FALSE)),"-",VLOOKUP($T199, 'Reference data'!$J$2:$K$139, 2, FALSE))</f>
        <v>-</v>
      </c>
      <c r="V199" s="308"/>
      <c r="W199" s="308"/>
      <c r="X199" s="312"/>
      <c r="Y199" s="313"/>
      <c r="Z199" s="69"/>
      <c r="AA199" s="341"/>
      <c r="AB199" s="82"/>
      <c r="AC199" s="71"/>
      <c r="AD199" s="319"/>
      <c r="AE199" s="226" t="s">
        <v>278</v>
      </c>
      <c r="AF199" s="230" t="s">
        <v>77</v>
      </c>
      <c r="AG199" s="322"/>
    </row>
    <row r="200" spans="2:33" s="287" customFormat="1" ht="13" x14ac:dyDescent="0.3">
      <c r="B200" s="326" t="str">
        <f>IF(C200="","Skip",IF(AND(Validator!G194=TRUE,Validator!G444=TRUE,Validator!G694=TRUE,Validator!G944=TRUE,Validator!G1194=TRUE,Validator!G1444=TRUE),"Valid","Invalid"))</f>
        <v>Skip</v>
      </c>
      <c r="C200" s="69"/>
      <c r="D200" s="389"/>
      <c r="E200" s="390"/>
      <c r="F200" s="519"/>
      <c r="G200" s="393"/>
      <c r="H200" s="519"/>
      <c r="I200" s="321"/>
      <c r="J200" s="395"/>
      <c r="K200" s="396"/>
      <c r="L200" s="397"/>
      <c r="M200" s="310"/>
      <c r="N200" s="400"/>
      <c r="O200" s="398" t="s">
        <v>278</v>
      </c>
      <c r="P200" s="399" t="s">
        <v>77</v>
      </c>
      <c r="Q200" s="317"/>
      <c r="R200" s="308"/>
      <c r="S200" s="308"/>
      <c r="T200" s="317"/>
      <c r="U200" s="324" t="str">
        <f>IF(ISERROR(VLOOKUP($T200, 'Reference data'!$J$2:$K$139, 2, FALSE)),"-",VLOOKUP($T200, 'Reference data'!$J$2:$K$139, 2, FALSE))</f>
        <v>-</v>
      </c>
      <c r="V200" s="308"/>
      <c r="W200" s="308"/>
      <c r="X200" s="312"/>
      <c r="Y200" s="313"/>
      <c r="Z200" s="69"/>
      <c r="AA200" s="341"/>
      <c r="AB200" s="82"/>
      <c r="AC200" s="71"/>
      <c r="AD200" s="319"/>
      <c r="AE200" s="226" t="s">
        <v>278</v>
      </c>
      <c r="AF200" s="230" t="s">
        <v>77</v>
      </c>
      <c r="AG200" s="322"/>
    </row>
    <row r="201" spans="2:33" s="287" customFormat="1" ht="13" x14ac:dyDescent="0.3">
      <c r="B201" s="326" t="str">
        <f>IF(C201="","Skip",IF(AND(Validator!G195=TRUE,Validator!G445=TRUE,Validator!G695=TRUE,Validator!G945=TRUE,Validator!G1195=TRUE,Validator!G1445=TRUE),"Valid","Invalid"))</f>
        <v>Skip</v>
      </c>
      <c r="C201" s="69"/>
      <c r="D201" s="389"/>
      <c r="E201" s="390"/>
      <c r="F201" s="519"/>
      <c r="G201" s="393"/>
      <c r="H201" s="519"/>
      <c r="I201" s="321"/>
      <c r="J201" s="395"/>
      <c r="K201" s="396"/>
      <c r="L201" s="397"/>
      <c r="M201" s="310"/>
      <c r="N201" s="400"/>
      <c r="O201" s="398" t="s">
        <v>278</v>
      </c>
      <c r="P201" s="399" t="s">
        <v>77</v>
      </c>
      <c r="Q201" s="317"/>
      <c r="R201" s="308"/>
      <c r="S201" s="308"/>
      <c r="T201" s="317"/>
      <c r="U201" s="324" t="str">
        <f>IF(ISERROR(VLOOKUP($T201, 'Reference data'!$J$2:$K$139, 2, FALSE)),"-",VLOOKUP($T201, 'Reference data'!$J$2:$K$139, 2, FALSE))</f>
        <v>-</v>
      </c>
      <c r="V201" s="308"/>
      <c r="W201" s="308"/>
      <c r="X201" s="312"/>
      <c r="Y201" s="313"/>
      <c r="Z201" s="69"/>
      <c r="AA201" s="341"/>
      <c r="AB201" s="82"/>
      <c r="AC201" s="71"/>
      <c r="AD201" s="319"/>
      <c r="AE201" s="226" t="s">
        <v>278</v>
      </c>
      <c r="AF201" s="230" t="s">
        <v>77</v>
      </c>
      <c r="AG201" s="322"/>
    </row>
    <row r="202" spans="2:33" s="287" customFormat="1" ht="13" x14ac:dyDescent="0.3">
      <c r="B202" s="326" t="str">
        <f>IF(C202="","Skip",IF(AND(Validator!G196=TRUE,Validator!G446=TRUE,Validator!G696=TRUE,Validator!G946=TRUE,Validator!G1196=TRUE,Validator!G1446=TRUE),"Valid","Invalid"))</f>
        <v>Skip</v>
      </c>
      <c r="C202" s="69"/>
      <c r="D202" s="389"/>
      <c r="E202" s="390"/>
      <c r="F202" s="519"/>
      <c r="G202" s="393"/>
      <c r="H202" s="519"/>
      <c r="I202" s="321"/>
      <c r="J202" s="395"/>
      <c r="K202" s="396"/>
      <c r="L202" s="397"/>
      <c r="M202" s="310"/>
      <c r="N202" s="400"/>
      <c r="O202" s="398" t="s">
        <v>278</v>
      </c>
      <c r="P202" s="399" t="s">
        <v>77</v>
      </c>
      <c r="Q202" s="317"/>
      <c r="R202" s="308"/>
      <c r="S202" s="308"/>
      <c r="T202" s="317"/>
      <c r="U202" s="324" t="str">
        <f>IF(ISERROR(VLOOKUP($T202, 'Reference data'!$J$2:$K$139, 2, FALSE)),"-",VLOOKUP($T202, 'Reference data'!$J$2:$K$139, 2, FALSE))</f>
        <v>-</v>
      </c>
      <c r="V202" s="308"/>
      <c r="W202" s="308"/>
      <c r="X202" s="312"/>
      <c r="Y202" s="313"/>
      <c r="Z202" s="69"/>
      <c r="AA202" s="341"/>
      <c r="AB202" s="82"/>
      <c r="AC202" s="71"/>
      <c r="AD202" s="319"/>
      <c r="AE202" s="226" t="s">
        <v>278</v>
      </c>
      <c r="AF202" s="230" t="s">
        <v>77</v>
      </c>
      <c r="AG202" s="322"/>
    </row>
    <row r="203" spans="2:33" s="287" customFormat="1" ht="13" x14ac:dyDescent="0.3">
      <c r="B203" s="326" t="str">
        <f>IF(C203="","Skip",IF(AND(Validator!G197=TRUE,Validator!G447=TRUE,Validator!G697=TRUE,Validator!G947=TRUE,Validator!G1197=TRUE,Validator!G1447=TRUE),"Valid","Invalid"))</f>
        <v>Skip</v>
      </c>
      <c r="C203" s="69"/>
      <c r="D203" s="389"/>
      <c r="E203" s="390"/>
      <c r="F203" s="519"/>
      <c r="G203" s="393"/>
      <c r="H203" s="519"/>
      <c r="I203" s="321"/>
      <c r="J203" s="395"/>
      <c r="K203" s="396"/>
      <c r="L203" s="397"/>
      <c r="M203" s="310"/>
      <c r="N203" s="400"/>
      <c r="O203" s="398" t="s">
        <v>278</v>
      </c>
      <c r="P203" s="399" t="s">
        <v>77</v>
      </c>
      <c r="Q203" s="317"/>
      <c r="R203" s="308"/>
      <c r="S203" s="308"/>
      <c r="T203" s="317"/>
      <c r="U203" s="324" t="str">
        <f>IF(ISERROR(VLOOKUP($T203, 'Reference data'!$J$2:$K$139, 2, FALSE)),"-",VLOOKUP($T203, 'Reference data'!$J$2:$K$139, 2, FALSE))</f>
        <v>-</v>
      </c>
      <c r="V203" s="308"/>
      <c r="W203" s="308"/>
      <c r="X203" s="312"/>
      <c r="Y203" s="313"/>
      <c r="Z203" s="69"/>
      <c r="AA203" s="341"/>
      <c r="AB203" s="82"/>
      <c r="AC203" s="71"/>
      <c r="AD203" s="319"/>
      <c r="AE203" s="226" t="s">
        <v>278</v>
      </c>
      <c r="AF203" s="230" t="s">
        <v>77</v>
      </c>
      <c r="AG203" s="322"/>
    </row>
    <row r="204" spans="2:33" s="287" customFormat="1" ht="13" x14ac:dyDescent="0.3">
      <c r="B204" s="326" t="str">
        <f>IF(C204="","Skip",IF(AND(Validator!G198=TRUE,Validator!G448=TRUE,Validator!G698=TRUE,Validator!G948=TRUE,Validator!G1198=TRUE,Validator!G1448=TRUE),"Valid","Invalid"))</f>
        <v>Skip</v>
      </c>
      <c r="C204" s="69"/>
      <c r="D204" s="389"/>
      <c r="E204" s="390"/>
      <c r="F204" s="519"/>
      <c r="G204" s="393"/>
      <c r="H204" s="519"/>
      <c r="I204" s="321"/>
      <c r="J204" s="395"/>
      <c r="K204" s="396"/>
      <c r="L204" s="397"/>
      <c r="M204" s="310"/>
      <c r="N204" s="400"/>
      <c r="O204" s="398" t="s">
        <v>278</v>
      </c>
      <c r="P204" s="399" t="s">
        <v>77</v>
      </c>
      <c r="Q204" s="317"/>
      <c r="R204" s="308"/>
      <c r="S204" s="308"/>
      <c r="T204" s="317"/>
      <c r="U204" s="324" t="str">
        <f>IF(ISERROR(VLOOKUP($T204, 'Reference data'!$J$2:$K$139, 2, FALSE)),"-",VLOOKUP($T204, 'Reference data'!$J$2:$K$139, 2, FALSE))</f>
        <v>-</v>
      </c>
      <c r="V204" s="308"/>
      <c r="W204" s="308"/>
      <c r="X204" s="312"/>
      <c r="Y204" s="313"/>
      <c r="Z204" s="69"/>
      <c r="AA204" s="341"/>
      <c r="AB204" s="82"/>
      <c r="AC204" s="71"/>
      <c r="AD204" s="319"/>
      <c r="AE204" s="226" t="s">
        <v>278</v>
      </c>
      <c r="AF204" s="230" t="s">
        <v>77</v>
      </c>
      <c r="AG204" s="322"/>
    </row>
    <row r="205" spans="2:33" s="287" customFormat="1" ht="13" x14ac:dyDescent="0.3">
      <c r="B205" s="326" t="str">
        <f>IF(C205="","Skip",IF(AND(Validator!G199=TRUE,Validator!G449=TRUE,Validator!G699=TRUE,Validator!G949=TRUE,Validator!G1199=TRUE,Validator!G1449=TRUE),"Valid","Invalid"))</f>
        <v>Skip</v>
      </c>
      <c r="C205" s="69"/>
      <c r="D205" s="389"/>
      <c r="E205" s="390"/>
      <c r="F205" s="519"/>
      <c r="G205" s="393"/>
      <c r="H205" s="519"/>
      <c r="I205" s="321"/>
      <c r="J205" s="395"/>
      <c r="K205" s="396"/>
      <c r="L205" s="397"/>
      <c r="M205" s="310"/>
      <c r="N205" s="400"/>
      <c r="O205" s="398" t="s">
        <v>278</v>
      </c>
      <c r="P205" s="399" t="s">
        <v>77</v>
      </c>
      <c r="Q205" s="317"/>
      <c r="R205" s="308"/>
      <c r="S205" s="308"/>
      <c r="T205" s="317"/>
      <c r="U205" s="324" t="str">
        <f>IF(ISERROR(VLOOKUP($T205, 'Reference data'!$J$2:$K$139, 2, FALSE)),"-",VLOOKUP($T205, 'Reference data'!$J$2:$K$139, 2, FALSE))</f>
        <v>-</v>
      </c>
      <c r="V205" s="308"/>
      <c r="W205" s="308"/>
      <c r="X205" s="312"/>
      <c r="Y205" s="313"/>
      <c r="Z205" s="69"/>
      <c r="AA205" s="341"/>
      <c r="AB205" s="82"/>
      <c r="AC205" s="71"/>
      <c r="AD205" s="319"/>
      <c r="AE205" s="226" t="s">
        <v>278</v>
      </c>
      <c r="AF205" s="230" t="s">
        <v>77</v>
      </c>
      <c r="AG205" s="322"/>
    </row>
    <row r="206" spans="2:33" s="287" customFormat="1" ht="13" x14ac:dyDescent="0.3">
      <c r="B206" s="326" t="str">
        <f>IF(C206="","Skip",IF(AND(Validator!G200=TRUE,Validator!G450=TRUE,Validator!G700=TRUE,Validator!G950=TRUE,Validator!G1200=TRUE,Validator!G1450=TRUE),"Valid","Invalid"))</f>
        <v>Skip</v>
      </c>
      <c r="C206" s="69"/>
      <c r="D206" s="389"/>
      <c r="E206" s="390"/>
      <c r="F206" s="519"/>
      <c r="G206" s="393"/>
      <c r="H206" s="519"/>
      <c r="I206" s="321"/>
      <c r="J206" s="395"/>
      <c r="K206" s="396"/>
      <c r="L206" s="397"/>
      <c r="M206" s="310"/>
      <c r="N206" s="400"/>
      <c r="O206" s="398" t="s">
        <v>278</v>
      </c>
      <c r="P206" s="399" t="s">
        <v>77</v>
      </c>
      <c r="Q206" s="317"/>
      <c r="R206" s="308"/>
      <c r="S206" s="308"/>
      <c r="T206" s="317"/>
      <c r="U206" s="324" t="str">
        <f>IF(ISERROR(VLOOKUP($T206, 'Reference data'!$J$2:$K$139, 2, FALSE)),"-",VLOOKUP($T206, 'Reference data'!$J$2:$K$139, 2, FALSE))</f>
        <v>-</v>
      </c>
      <c r="V206" s="308"/>
      <c r="W206" s="308"/>
      <c r="X206" s="312"/>
      <c r="Y206" s="313"/>
      <c r="Z206" s="69"/>
      <c r="AA206" s="341"/>
      <c r="AB206" s="82"/>
      <c r="AC206" s="71"/>
      <c r="AD206" s="319"/>
      <c r="AE206" s="226" t="s">
        <v>278</v>
      </c>
      <c r="AF206" s="230" t="s">
        <v>77</v>
      </c>
      <c r="AG206" s="322"/>
    </row>
    <row r="207" spans="2:33" s="287" customFormat="1" ht="13" x14ac:dyDescent="0.3">
      <c r="B207" s="326" t="str">
        <f>IF(C207="","Skip",IF(AND(Validator!G201=TRUE,Validator!G451=TRUE,Validator!G701=TRUE,Validator!G951=TRUE,Validator!G1201=TRUE,Validator!G1451=TRUE),"Valid","Invalid"))</f>
        <v>Skip</v>
      </c>
      <c r="C207" s="69"/>
      <c r="D207" s="389"/>
      <c r="E207" s="390"/>
      <c r="F207" s="519"/>
      <c r="G207" s="393"/>
      <c r="H207" s="519"/>
      <c r="I207" s="321"/>
      <c r="J207" s="395"/>
      <c r="K207" s="396"/>
      <c r="L207" s="397"/>
      <c r="M207" s="310"/>
      <c r="N207" s="400"/>
      <c r="O207" s="398" t="s">
        <v>278</v>
      </c>
      <c r="P207" s="399" t="s">
        <v>77</v>
      </c>
      <c r="Q207" s="317"/>
      <c r="R207" s="308"/>
      <c r="S207" s="308"/>
      <c r="T207" s="317"/>
      <c r="U207" s="324" t="str">
        <f>IF(ISERROR(VLOOKUP($T207, 'Reference data'!$J$2:$K$139, 2, FALSE)),"-",VLOOKUP($T207, 'Reference data'!$J$2:$K$139, 2, FALSE))</f>
        <v>-</v>
      </c>
      <c r="V207" s="308"/>
      <c r="W207" s="308"/>
      <c r="X207" s="312"/>
      <c r="Y207" s="313"/>
      <c r="Z207" s="69"/>
      <c r="AA207" s="341"/>
      <c r="AB207" s="82"/>
      <c r="AC207" s="71"/>
      <c r="AD207" s="319"/>
      <c r="AE207" s="226" t="s">
        <v>278</v>
      </c>
      <c r="AF207" s="230" t="s">
        <v>77</v>
      </c>
      <c r="AG207" s="322"/>
    </row>
    <row r="208" spans="2:33" s="287" customFormat="1" ht="13" x14ac:dyDescent="0.3">
      <c r="B208" s="326" t="str">
        <f>IF(C208="","Skip",IF(AND(Validator!G202=TRUE,Validator!G452=TRUE,Validator!G702=TRUE,Validator!G952=TRUE,Validator!G1202=TRUE,Validator!G1452=TRUE),"Valid","Invalid"))</f>
        <v>Skip</v>
      </c>
      <c r="C208" s="69"/>
      <c r="D208" s="389"/>
      <c r="E208" s="390"/>
      <c r="F208" s="519"/>
      <c r="G208" s="393"/>
      <c r="H208" s="519"/>
      <c r="I208" s="321"/>
      <c r="J208" s="395"/>
      <c r="K208" s="396"/>
      <c r="L208" s="397"/>
      <c r="M208" s="310"/>
      <c r="N208" s="400"/>
      <c r="O208" s="398" t="s">
        <v>278</v>
      </c>
      <c r="P208" s="399" t="s">
        <v>77</v>
      </c>
      <c r="Q208" s="317"/>
      <c r="R208" s="308"/>
      <c r="S208" s="308"/>
      <c r="T208" s="317"/>
      <c r="U208" s="324" t="str">
        <f>IF(ISERROR(VLOOKUP($T208, 'Reference data'!$J$2:$K$139, 2, FALSE)),"-",VLOOKUP($T208, 'Reference data'!$J$2:$K$139, 2, FALSE))</f>
        <v>-</v>
      </c>
      <c r="V208" s="308"/>
      <c r="W208" s="308"/>
      <c r="X208" s="312"/>
      <c r="Y208" s="313"/>
      <c r="Z208" s="69"/>
      <c r="AA208" s="341"/>
      <c r="AB208" s="82"/>
      <c r="AC208" s="71"/>
      <c r="AD208" s="319"/>
      <c r="AE208" s="226" t="s">
        <v>278</v>
      </c>
      <c r="AF208" s="230" t="s">
        <v>77</v>
      </c>
      <c r="AG208" s="322"/>
    </row>
    <row r="209" spans="2:33" s="287" customFormat="1" ht="13" x14ac:dyDescent="0.3">
      <c r="B209" s="326" t="str">
        <f>IF(C209="","Skip",IF(AND(Validator!G203=TRUE,Validator!G453=TRUE,Validator!G703=TRUE,Validator!G953=TRUE,Validator!G1203=TRUE,Validator!G1453=TRUE),"Valid","Invalid"))</f>
        <v>Skip</v>
      </c>
      <c r="C209" s="69"/>
      <c r="D209" s="389"/>
      <c r="E209" s="390"/>
      <c r="F209" s="519"/>
      <c r="G209" s="393"/>
      <c r="H209" s="519"/>
      <c r="I209" s="321"/>
      <c r="J209" s="395"/>
      <c r="K209" s="396"/>
      <c r="L209" s="397"/>
      <c r="M209" s="310"/>
      <c r="N209" s="400"/>
      <c r="O209" s="398" t="s">
        <v>278</v>
      </c>
      <c r="P209" s="399" t="s">
        <v>77</v>
      </c>
      <c r="Q209" s="317"/>
      <c r="R209" s="308"/>
      <c r="S209" s="308"/>
      <c r="T209" s="317"/>
      <c r="U209" s="324" t="str">
        <f>IF(ISERROR(VLOOKUP($T209, 'Reference data'!$J$2:$K$139, 2, FALSE)),"-",VLOOKUP($T209, 'Reference data'!$J$2:$K$139, 2, FALSE))</f>
        <v>-</v>
      </c>
      <c r="V209" s="308"/>
      <c r="W209" s="308"/>
      <c r="X209" s="312"/>
      <c r="Y209" s="313"/>
      <c r="Z209" s="69"/>
      <c r="AA209" s="341"/>
      <c r="AB209" s="82"/>
      <c r="AC209" s="71"/>
      <c r="AD209" s="319"/>
      <c r="AE209" s="226" t="s">
        <v>278</v>
      </c>
      <c r="AF209" s="230" t="s">
        <v>77</v>
      </c>
      <c r="AG209" s="322"/>
    </row>
    <row r="210" spans="2:33" s="287" customFormat="1" ht="13" x14ac:dyDescent="0.3">
      <c r="B210" s="326" t="str">
        <f>IF(C210="","Skip",IF(AND(Validator!G204=TRUE,Validator!G454=TRUE,Validator!G704=TRUE,Validator!G954=TRUE,Validator!G1204=TRUE,Validator!G1454=TRUE),"Valid","Invalid"))</f>
        <v>Skip</v>
      </c>
      <c r="C210" s="69"/>
      <c r="D210" s="389"/>
      <c r="E210" s="390"/>
      <c r="F210" s="519"/>
      <c r="G210" s="393"/>
      <c r="H210" s="519"/>
      <c r="I210" s="321"/>
      <c r="J210" s="395"/>
      <c r="K210" s="396"/>
      <c r="L210" s="397"/>
      <c r="M210" s="310"/>
      <c r="N210" s="400"/>
      <c r="O210" s="398" t="s">
        <v>278</v>
      </c>
      <c r="P210" s="399" t="s">
        <v>77</v>
      </c>
      <c r="Q210" s="317"/>
      <c r="R210" s="308"/>
      <c r="S210" s="308"/>
      <c r="T210" s="317"/>
      <c r="U210" s="324" t="str">
        <f>IF(ISERROR(VLOOKUP($T210, 'Reference data'!$J$2:$K$139, 2, FALSE)),"-",VLOOKUP($T210, 'Reference data'!$J$2:$K$139, 2, FALSE))</f>
        <v>-</v>
      </c>
      <c r="V210" s="308"/>
      <c r="W210" s="308"/>
      <c r="X210" s="312"/>
      <c r="Y210" s="313"/>
      <c r="Z210" s="69"/>
      <c r="AA210" s="341"/>
      <c r="AB210" s="82"/>
      <c r="AC210" s="71"/>
      <c r="AD210" s="319"/>
      <c r="AE210" s="226" t="s">
        <v>278</v>
      </c>
      <c r="AF210" s="230" t="s">
        <v>77</v>
      </c>
      <c r="AG210" s="322"/>
    </row>
    <row r="211" spans="2:33" s="287" customFormat="1" ht="13" x14ac:dyDescent="0.3">
      <c r="B211" s="326" t="str">
        <f>IF(C211="","Skip",IF(AND(Validator!G205=TRUE,Validator!G455=TRUE,Validator!G705=TRUE,Validator!G955=TRUE,Validator!G1205=TRUE,Validator!G1455=TRUE),"Valid","Invalid"))</f>
        <v>Skip</v>
      </c>
      <c r="C211" s="69"/>
      <c r="D211" s="389"/>
      <c r="E211" s="390"/>
      <c r="F211" s="519"/>
      <c r="G211" s="393"/>
      <c r="H211" s="519"/>
      <c r="I211" s="321"/>
      <c r="J211" s="395"/>
      <c r="K211" s="396"/>
      <c r="L211" s="397"/>
      <c r="M211" s="310"/>
      <c r="N211" s="400"/>
      <c r="O211" s="398" t="s">
        <v>278</v>
      </c>
      <c r="P211" s="399" t="s">
        <v>77</v>
      </c>
      <c r="Q211" s="317"/>
      <c r="R211" s="308"/>
      <c r="S211" s="308"/>
      <c r="T211" s="317"/>
      <c r="U211" s="324" t="str">
        <f>IF(ISERROR(VLOOKUP($T211, 'Reference data'!$J$2:$K$139, 2, FALSE)),"-",VLOOKUP($T211, 'Reference data'!$J$2:$K$139, 2, FALSE))</f>
        <v>-</v>
      </c>
      <c r="V211" s="308"/>
      <c r="W211" s="308"/>
      <c r="X211" s="312"/>
      <c r="Y211" s="313"/>
      <c r="Z211" s="69"/>
      <c r="AA211" s="341"/>
      <c r="AB211" s="82"/>
      <c r="AC211" s="71"/>
      <c r="AD211" s="319"/>
      <c r="AE211" s="226" t="s">
        <v>278</v>
      </c>
      <c r="AF211" s="230" t="s">
        <v>77</v>
      </c>
      <c r="AG211" s="322"/>
    </row>
    <row r="212" spans="2:33" s="287" customFormat="1" ht="13" x14ac:dyDescent="0.3">
      <c r="B212" s="326" t="str">
        <f>IF(C212="","Skip",IF(AND(Validator!G206=TRUE,Validator!G456=TRUE,Validator!G706=TRUE,Validator!G956=TRUE,Validator!G1206=TRUE,Validator!G1456=TRUE),"Valid","Invalid"))</f>
        <v>Skip</v>
      </c>
      <c r="C212" s="69"/>
      <c r="D212" s="389"/>
      <c r="E212" s="390"/>
      <c r="F212" s="519"/>
      <c r="G212" s="393"/>
      <c r="H212" s="519"/>
      <c r="I212" s="321"/>
      <c r="J212" s="395"/>
      <c r="K212" s="396"/>
      <c r="L212" s="397"/>
      <c r="M212" s="310"/>
      <c r="N212" s="400"/>
      <c r="O212" s="398" t="s">
        <v>278</v>
      </c>
      <c r="P212" s="399" t="s">
        <v>77</v>
      </c>
      <c r="Q212" s="317"/>
      <c r="R212" s="308"/>
      <c r="S212" s="308"/>
      <c r="T212" s="317"/>
      <c r="U212" s="324" t="str">
        <f>IF(ISERROR(VLOOKUP($T212, 'Reference data'!$J$2:$K$139, 2, FALSE)),"-",VLOOKUP($T212, 'Reference data'!$J$2:$K$139, 2, FALSE))</f>
        <v>-</v>
      </c>
      <c r="V212" s="308"/>
      <c r="W212" s="308"/>
      <c r="X212" s="312"/>
      <c r="Y212" s="313"/>
      <c r="Z212" s="69"/>
      <c r="AA212" s="341"/>
      <c r="AB212" s="82"/>
      <c r="AC212" s="71"/>
      <c r="AD212" s="319"/>
      <c r="AE212" s="226" t="s">
        <v>278</v>
      </c>
      <c r="AF212" s="230" t="s">
        <v>77</v>
      </c>
      <c r="AG212" s="322"/>
    </row>
    <row r="213" spans="2:33" s="287" customFormat="1" ht="13" x14ac:dyDescent="0.3">
      <c r="B213" s="326" t="str">
        <f>IF(C213="","Skip",IF(AND(Validator!G207=TRUE,Validator!G457=TRUE,Validator!G707=TRUE,Validator!G957=TRUE,Validator!G1207=TRUE,Validator!G1457=TRUE),"Valid","Invalid"))</f>
        <v>Skip</v>
      </c>
      <c r="C213" s="69"/>
      <c r="D213" s="389"/>
      <c r="E213" s="390"/>
      <c r="F213" s="519"/>
      <c r="G213" s="393"/>
      <c r="H213" s="519"/>
      <c r="I213" s="321"/>
      <c r="J213" s="395"/>
      <c r="K213" s="396"/>
      <c r="L213" s="397"/>
      <c r="M213" s="310"/>
      <c r="N213" s="400"/>
      <c r="O213" s="398" t="s">
        <v>278</v>
      </c>
      <c r="P213" s="399" t="s">
        <v>77</v>
      </c>
      <c r="Q213" s="317"/>
      <c r="R213" s="308"/>
      <c r="S213" s="308"/>
      <c r="T213" s="317"/>
      <c r="U213" s="324" t="str">
        <f>IF(ISERROR(VLOOKUP($T213, 'Reference data'!$J$2:$K$139, 2, FALSE)),"-",VLOOKUP($T213, 'Reference data'!$J$2:$K$139, 2, FALSE))</f>
        <v>-</v>
      </c>
      <c r="V213" s="308"/>
      <c r="W213" s="308"/>
      <c r="X213" s="312"/>
      <c r="Y213" s="313"/>
      <c r="Z213" s="69"/>
      <c r="AA213" s="341"/>
      <c r="AB213" s="82"/>
      <c r="AC213" s="71"/>
      <c r="AD213" s="319"/>
      <c r="AE213" s="226" t="s">
        <v>278</v>
      </c>
      <c r="AF213" s="230" t="s">
        <v>77</v>
      </c>
      <c r="AG213" s="322"/>
    </row>
    <row r="214" spans="2:33" s="287" customFormat="1" ht="13" x14ac:dyDescent="0.3">
      <c r="B214" s="326" t="str">
        <f>IF(C214="","Skip",IF(AND(Validator!G208=TRUE,Validator!G458=TRUE,Validator!G708=TRUE,Validator!G958=TRUE,Validator!G1208=TRUE,Validator!G1458=TRUE),"Valid","Invalid"))</f>
        <v>Skip</v>
      </c>
      <c r="C214" s="69"/>
      <c r="D214" s="389"/>
      <c r="E214" s="390"/>
      <c r="F214" s="519"/>
      <c r="G214" s="393"/>
      <c r="H214" s="519"/>
      <c r="I214" s="321"/>
      <c r="J214" s="395"/>
      <c r="K214" s="396"/>
      <c r="L214" s="397"/>
      <c r="M214" s="310"/>
      <c r="N214" s="400"/>
      <c r="O214" s="398" t="s">
        <v>278</v>
      </c>
      <c r="P214" s="399" t="s">
        <v>77</v>
      </c>
      <c r="Q214" s="317"/>
      <c r="R214" s="308"/>
      <c r="S214" s="308"/>
      <c r="T214" s="317"/>
      <c r="U214" s="324" t="str">
        <f>IF(ISERROR(VLOOKUP($T214, 'Reference data'!$J$2:$K$139, 2, FALSE)),"-",VLOOKUP($T214, 'Reference data'!$J$2:$K$139, 2, FALSE))</f>
        <v>-</v>
      </c>
      <c r="V214" s="308"/>
      <c r="W214" s="308"/>
      <c r="X214" s="312"/>
      <c r="Y214" s="313"/>
      <c r="Z214" s="69"/>
      <c r="AA214" s="341"/>
      <c r="AB214" s="82"/>
      <c r="AC214" s="71"/>
      <c r="AD214" s="319"/>
      <c r="AE214" s="226" t="s">
        <v>278</v>
      </c>
      <c r="AF214" s="230" t="s">
        <v>77</v>
      </c>
      <c r="AG214" s="322"/>
    </row>
    <row r="215" spans="2:33" s="287" customFormat="1" ht="13" x14ac:dyDescent="0.3">
      <c r="B215" s="326" t="str">
        <f>IF(C215="","Skip",IF(AND(Validator!G209=TRUE,Validator!G459=TRUE,Validator!G709=TRUE,Validator!G959=TRUE,Validator!G1209=TRUE,Validator!G1459=TRUE),"Valid","Invalid"))</f>
        <v>Skip</v>
      </c>
      <c r="C215" s="69"/>
      <c r="D215" s="389"/>
      <c r="E215" s="390"/>
      <c r="F215" s="519"/>
      <c r="G215" s="393"/>
      <c r="H215" s="519"/>
      <c r="I215" s="321"/>
      <c r="J215" s="395"/>
      <c r="K215" s="396"/>
      <c r="L215" s="397"/>
      <c r="M215" s="310"/>
      <c r="N215" s="400"/>
      <c r="O215" s="398" t="s">
        <v>278</v>
      </c>
      <c r="P215" s="399" t="s">
        <v>77</v>
      </c>
      <c r="Q215" s="317"/>
      <c r="R215" s="308"/>
      <c r="S215" s="308"/>
      <c r="T215" s="317"/>
      <c r="U215" s="324" t="str">
        <f>IF(ISERROR(VLOOKUP($T215, 'Reference data'!$J$2:$K$139, 2, FALSE)),"-",VLOOKUP($T215, 'Reference data'!$J$2:$K$139, 2, FALSE))</f>
        <v>-</v>
      </c>
      <c r="V215" s="308"/>
      <c r="W215" s="308"/>
      <c r="X215" s="312"/>
      <c r="Y215" s="313"/>
      <c r="Z215" s="69"/>
      <c r="AA215" s="341"/>
      <c r="AB215" s="82"/>
      <c r="AC215" s="71"/>
      <c r="AD215" s="319"/>
      <c r="AE215" s="226" t="s">
        <v>278</v>
      </c>
      <c r="AF215" s="230" t="s">
        <v>77</v>
      </c>
      <c r="AG215" s="322"/>
    </row>
    <row r="216" spans="2:33" s="287" customFormat="1" ht="13" x14ac:dyDescent="0.3">
      <c r="B216" s="326" t="str">
        <f>IF(C216="","Skip",IF(AND(Validator!G210=TRUE,Validator!G460=TRUE,Validator!G710=TRUE,Validator!G960=TRUE,Validator!G1210=TRUE,Validator!G1460=TRUE),"Valid","Invalid"))</f>
        <v>Skip</v>
      </c>
      <c r="C216" s="69"/>
      <c r="D216" s="389"/>
      <c r="E216" s="390"/>
      <c r="F216" s="519"/>
      <c r="G216" s="393"/>
      <c r="H216" s="519"/>
      <c r="I216" s="321"/>
      <c r="J216" s="395"/>
      <c r="K216" s="396"/>
      <c r="L216" s="397"/>
      <c r="M216" s="310"/>
      <c r="N216" s="400"/>
      <c r="O216" s="398" t="s">
        <v>278</v>
      </c>
      <c r="P216" s="399" t="s">
        <v>77</v>
      </c>
      <c r="Q216" s="317"/>
      <c r="R216" s="308"/>
      <c r="S216" s="308"/>
      <c r="T216" s="317"/>
      <c r="U216" s="324" t="str">
        <f>IF(ISERROR(VLOOKUP($T216, 'Reference data'!$J$2:$K$139, 2, FALSE)),"-",VLOOKUP($T216, 'Reference data'!$J$2:$K$139, 2, FALSE))</f>
        <v>-</v>
      </c>
      <c r="V216" s="308"/>
      <c r="W216" s="308"/>
      <c r="X216" s="312"/>
      <c r="Y216" s="313"/>
      <c r="Z216" s="69"/>
      <c r="AA216" s="341"/>
      <c r="AB216" s="82"/>
      <c r="AC216" s="71"/>
      <c r="AD216" s="319"/>
      <c r="AE216" s="226" t="s">
        <v>278</v>
      </c>
      <c r="AF216" s="230" t="s">
        <v>77</v>
      </c>
      <c r="AG216" s="322"/>
    </row>
    <row r="217" spans="2:33" s="287" customFormat="1" ht="13" x14ac:dyDescent="0.3">
      <c r="B217" s="326" t="str">
        <f>IF(C217="","Skip",IF(AND(Validator!G211=TRUE,Validator!G461=TRUE,Validator!G711=TRUE,Validator!G961=TRUE,Validator!G1211=TRUE,Validator!G1461=TRUE),"Valid","Invalid"))</f>
        <v>Skip</v>
      </c>
      <c r="C217" s="69"/>
      <c r="D217" s="389"/>
      <c r="E217" s="390"/>
      <c r="F217" s="519"/>
      <c r="G217" s="393"/>
      <c r="H217" s="519"/>
      <c r="I217" s="321"/>
      <c r="J217" s="395"/>
      <c r="K217" s="396"/>
      <c r="L217" s="397"/>
      <c r="M217" s="310"/>
      <c r="N217" s="400"/>
      <c r="O217" s="398" t="s">
        <v>278</v>
      </c>
      <c r="P217" s="399" t="s">
        <v>77</v>
      </c>
      <c r="Q217" s="317"/>
      <c r="R217" s="308"/>
      <c r="S217" s="308"/>
      <c r="T217" s="317"/>
      <c r="U217" s="324" t="str">
        <f>IF(ISERROR(VLOOKUP($T217, 'Reference data'!$J$2:$K$139, 2, FALSE)),"-",VLOOKUP($T217, 'Reference data'!$J$2:$K$139, 2, FALSE))</f>
        <v>-</v>
      </c>
      <c r="V217" s="308"/>
      <c r="W217" s="308"/>
      <c r="X217" s="312"/>
      <c r="Y217" s="313"/>
      <c r="Z217" s="69"/>
      <c r="AA217" s="341"/>
      <c r="AB217" s="82"/>
      <c r="AC217" s="71"/>
      <c r="AD217" s="319"/>
      <c r="AE217" s="226" t="s">
        <v>278</v>
      </c>
      <c r="AF217" s="230" t="s">
        <v>77</v>
      </c>
      <c r="AG217" s="322"/>
    </row>
    <row r="218" spans="2:33" s="287" customFormat="1" ht="13" x14ac:dyDescent="0.3">
      <c r="B218" s="326" t="str">
        <f>IF(C218="","Skip",IF(AND(Validator!G212=TRUE,Validator!G462=TRUE,Validator!G712=TRUE,Validator!G962=TRUE,Validator!G1212=TRUE,Validator!G1462=TRUE),"Valid","Invalid"))</f>
        <v>Skip</v>
      </c>
      <c r="C218" s="69"/>
      <c r="D218" s="389"/>
      <c r="E218" s="390"/>
      <c r="F218" s="519"/>
      <c r="G218" s="393"/>
      <c r="H218" s="519"/>
      <c r="I218" s="321"/>
      <c r="J218" s="395"/>
      <c r="K218" s="396"/>
      <c r="L218" s="397"/>
      <c r="M218" s="310"/>
      <c r="N218" s="400"/>
      <c r="O218" s="398" t="s">
        <v>278</v>
      </c>
      <c r="P218" s="399" t="s">
        <v>77</v>
      </c>
      <c r="Q218" s="317"/>
      <c r="R218" s="308"/>
      <c r="S218" s="308"/>
      <c r="T218" s="317"/>
      <c r="U218" s="324" t="str">
        <f>IF(ISERROR(VLOOKUP($T218, 'Reference data'!$J$2:$K$139, 2, FALSE)),"-",VLOOKUP($T218, 'Reference data'!$J$2:$K$139, 2, FALSE))</f>
        <v>-</v>
      </c>
      <c r="V218" s="308"/>
      <c r="W218" s="308"/>
      <c r="X218" s="312"/>
      <c r="Y218" s="313"/>
      <c r="Z218" s="69"/>
      <c r="AA218" s="341"/>
      <c r="AB218" s="82"/>
      <c r="AC218" s="71"/>
      <c r="AD218" s="319"/>
      <c r="AE218" s="226" t="s">
        <v>278</v>
      </c>
      <c r="AF218" s="230" t="s">
        <v>77</v>
      </c>
      <c r="AG218" s="322"/>
    </row>
    <row r="219" spans="2:33" s="287" customFormat="1" ht="13" x14ac:dyDescent="0.3">
      <c r="B219" s="326" t="str">
        <f>IF(C219="","Skip",IF(AND(Validator!G213=TRUE,Validator!G463=TRUE,Validator!G713=TRUE,Validator!G963=TRUE,Validator!G1213=TRUE,Validator!G1463=TRUE),"Valid","Invalid"))</f>
        <v>Skip</v>
      </c>
      <c r="C219" s="69"/>
      <c r="D219" s="389"/>
      <c r="E219" s="390"/>
      <c r="F219" s="519"/>
      <c r="G219" s="393"/>
      <c r="H219" s="519"/>
      <c r="I219" s="321"/>
      <c r="J219" s="395"/>
      <c r="K219" s="396"/>
      <c r="L219" s="397"/>
      <c r="M219" s="310"/>
      <c r="N219" s="400"/>
      <c r="O219" s="398" t="s">
        <v>278</v>
      </c>
      <c r="P219" s="399" t="s">
        <v>77</v>
      </c>
      <c r="Q219" s="317"/>
      <c r="R219" s="308"/>
      <c r="S219" s="308"/>
      <c r="T219" s="317"/>
      <c r="U219" s="324" t="str">
        <f>IF(ISERROR(VLOOKUP($T219, 'Reference data'!$J$2:$K$139, 2, FALSE)),"-",VLOOKUP($T219, 'Reference data'!$J$2:$K$139, 2, FALSE))</f>
        <v>-</v>
      </c>
      <c r="V219" s="308"/>
      <c r="W219" s="308"/>
      <c r="X219" s="312"/>
      <c r="Y219" s="313"/>
      <c r="Z219" s="69"/>
      <c r="AA219" s="341"/>
      <c r="AB219" s="82"/>
      <c r="AC219" s="71"/>
      <c r="AD219" s="319"/>
      <c r="AE219" s="226" t="s">
        <v>278</v>
      </c>
      <c r="AF219" s="230" t="s">
        <v>77</v>
      </c>
      <c r="AG219" s="322"/>
    </row>
    <row r="220" spans="2:33" s="287" customFormat="1" ht="13" x14ac:dyDescent="0.3">
      <c r="B220" s="326" t="str">
        <f>IF(C220="","Skip",IF(AND(Validator!G214=TRUE,Validator!G464=TRUE,Validator!G714=TRUE,Validator!G964=TRUE,Validator!G1214=TRUE,Validator!G1464=TRUE),"Valid","Invalid"))</f>
        <v>Skip</v>
      </c>
      <c r="C220" s="69"/>
      <c r="D220" s="389"/>
      <c r="E220" s="390"/>
      <c r="F220" s="519"/>
      <c r="G220" s="393"/>
      <c r="H220" s="519"/>
      <c r="I220" s="321"/>
      <c r="J220" s="395"/>
      <c r="K220" s="396"/>
      <c r="L220" s="397"/>
      <c r="M220" s="310"/>
      <c r="N220" s="400"/>
      <c r="O220" s="398" t="s">
        <v>278</v>
      </c>
      <c r="P220" s="399" t="s">
        <v>77</v>
      </c>
      <c r="Q220" s="317"/>
      <c r="R220" s="308"/>
      <c r="S220" s="308"/>
      <c r="T220" s="317"/>
      <c r="U220" s="324" t="str">
        <f>IF(ISERROR(VLOOKUP($T220, 'Reference data'!$J$2:$K$139, 2, FALSE)),"-",VLOOKUP($T220, 'Reference data'!$J$2:$K$139, 2, FALSE))</f>
        <v>-</v>
      </c>
      <c r="V220" s="308"/>
      <c r="W220" s="308"/>
      <c r="X220" s="312"/>
      <c r="Y220" s="313"/>
      <c r="Z220" s="69"/>
      <c r="AA220" s="341"/>
      <c r="AB220" s="82"/>
      <c r="AC220" s="71"/>
      <c r="AD220" s="319"/>
      <c r="AE220" s="226" t="s">
        <v>278</v>
      </c>
      <c r="AF220" s="230" t="s">
        <v>77</v>
      </c>
      <c r="AG220" s="322"/>
    </row>
    <row r="221" spans="2:33" s="287" customFormat="1" ht="13" x14ac:dyDescent="0.3">
      <c r="B221" s="326" t="str">
        <f>IF(C221="","Skip",IF(AND(Validator!G215=TRUE,Validator!G465=TRUE,Validator!G715=TRUE,Validator!G965=TRUE,Validator!G1215=TRUE,Validator!G1465=TRUE),"Valid","Invalid"))</f>
        <v>Skip</v>
      </c>
      <c r="C221" s="69"/>
      <c r="D221" s="389"/>
      <c r="E221" s="390"/>
      <c r="F221" s="519"/>
      <c r="G221" s="393"/>
      <c r="H221" s="519"/>
      <c r="I221" s="321"/>
      <c r="J221" s="395"/>
      <c r="K221" s="396"/>
      <c r="L221" s="397"/>
      <c r="M221" s="310"/>
      <c r="N221" s="400"/>
      <c r="O221" s="398" t="s">
        <v>278</v>
      </c>
      <c r="P221" s="399" t="s">
        <v>77</v>
      </c>
      <c r="Q221" s="317"/>
      <c r="R221" s="308"/>
      <c r="S221" s="308"/>
      <c r="T221" s="317"/>
      <c r="U221" s="324" t="str">
        <f>IF(ISERROR(VLOOKUP($T221, 'Reference data'!$J$2:$K$139, 2, FALSE)),"-",VLOOKUP($T221, 'Reference data'!$J$2:$K$139, 2, FALSE))</f>
        <v>-</v>
      </c>
      <c r="V221" s="308"/>
      <c r="W221" s="308"/>
      <c r="X221" s="312"/>
      <c r="Y221" s="313"/>
      <c r="Z221" s="69"/>
      <c r="AA221" s="341"/>
      <c r="AB221" s="82"/>
      <c r="AC221" s="71"/>
      <c r="AD221" s="319"/>
      <c r="AE221" s="226" t="s">
        <v>278</v>
      </c>
      <c r="AF221" s="230" t="s">
        <v>77</v>
      </c>
      <c r="AG221" s="322"/>
    </row>
    <row r="222" spans="2:33" s="287" customFormat="1" ht="13" x14ac:dyDescent="0.3">
      <c r="B222" s="326" t="str">
        <f>IF(C222="","Skip",IF(AND(Validator!G216=TRUE,Validator!G466=TRUE,Validator!G716=TRUE,Validator!G966=TRUE,Validator!G1216=TRUE,Validator!G1466=TRUE),"Valid","Invalid"))</f>
        <v>Skip</v>
      </c>
      <c r="C222" s="69"/>
      <c r="D222" s="389"/>
      <c r="E222" s="390"/>
      <c r="F222" s="519"/>
      <c r="G222" s="393"/>
      <c r="H222" s="519"/>
      <c r="I222" s="321"/>
      <c r="J222" s="395"/>
      <c r="K222" s="396"/>
      <c r="L222" s="397"/>
      <c r="M222" s="310"/>
      <c r="N222" s="400"/>
      <c r="O222" s="398" t="s">
        <v>278</v>
      </c>
      <c r="P222" s="399" t="s">
        <v>77</v>
      </c>
      <c r="Q222" s="317"/>
      <c r="R222" s="308"/>
      <c r="S222" s="308"/>
      <c r="T222" s="317"/>
      <c r="U222" s="324" t="str">
        <f>IF(ISERROR(VLOOKUP($T222, 'Reference data'!$J$2:$K$139, 2, FALSE)),"-",VLOOKUP($T222, 'Reference data'!$J$2:$K$139, 2, FALSE))</f>
        <v>-</v>
      </c>
      <c r="V222" s="308"/>
      <c r="W222" s="308"/>
      <c r="X222" s="312"/>
      <c r="Y222" s="313"/>
      <c r="Z222" s="69"/>
      <c r="AA222" s="341"/>
      <c r="AB222" s="82"/>
      <c r="AC222" s="71"/>
      <c r="AD222" s="319"/>
      <c r="AE222" s="226" t="s">
        <v>278</v>
      </c>
      <c r="AF222" s="230" t="s">
        <v>77</v>
      </c>
      <c r="AG222" s="322"/>
    </row>
    <row r="223" spans="2:33" s="287" customFormat="1" ht="13" x14ac:dyDescent="0.3">
      <c r="B223" s="326" t="str">
        <f>IF(C223="","Skip",IF(AND(Validator!G217=TRUE,Validator!G467=TRUE,Validator!G717=TRUE,Validator!G967=TRUE,Validator!G1217=TRUE,Validator!G1467=TRUE),"Valid","Invalid"))</f>
        <v>Skip</v>
      </c>
      <c r="C223" s="69"/>
      <c r="D223" s="389"/>
      <c r="E223" s="390"/>
      <c r="F223" s="519"/>
      <c r="G223" s="393"/>
      <c r="H223" s="519"/>
      <c r="I223" s="321"/>
      <c r="J223" s="395"/>
      <c r="K223" s="396"/>
      <c r="L223" s="397"/>
      <c r="M223" s="310"/>
      <c r="N223" s="400"/>
      <c r="O223" s="398" t="s">
        <v>278</v>
      </c>
      <c r="P223" s="399" t="s">
        <v>77</v>
      </c>
      <c r="Q223" s="317"/>
      <c r="R223" s="308"/>
      <c r="S223" s="308"/>
      <c r="T223" s="317"/>
      <c r="U223" s="324" t="str">
        <f>IF(ISERROR(VLOOKUP($T223, 'Reference data'!$J$2:$K$139, 2, FALSE)),"-",VLOOKUP($T223, 'Reference data'!$J$2:$K$139, 2, FALSE))</f>
        <v>-</v>
      </c>
      <c r="V223" s="308"/>
      <c r="W223" s="308"/>
      <c r="X223" s="312"/>
      <c r="Y223" s="313"/>
      <c r="Z223" s="69"/>
      <c r="AA223" s="341"/>
      <c r="AB223" s="82"/>
      <c r="AC223" s="71"/>
      <c r="AD223" s="319"/>
      <c r="AE223" s="226" t="s">
        <v>278</v>
      </c>
      <c r="AF223" s="230" t="s">
        <v>77</v>
      </c>
      <c r="AG223" s="322"/>
    </row>
    <row r="224" spans="2:33" s="287" customFormat="1" ht="13" x14ac:dyDescent="0.3">
      <c r="B224" s="326" t="str">
        <f>IF(C224="","Skip",IF(AND(Validator!G218=TRUE,Validator!G468=TRUE,Validator!G718=TRUE,Validator!G968=TRUE,Validator!G1218=TRUE,Validator!G1468=TRUE),"Valid","Invalid"))</f>
        <v>Skip</v>
      </c>
      <c r="C224" s="69"/>
      <c r="D224" s="389"/>
      <c r="E224" s="390"/>
      <c r="F224" s="519"/>
      <c r="G224" s="393"/>
      <c r="H224" s="519"/>
      <c r="I224" s="321"/>
      <c r="J224" s="395"/>
      <c r="K224" s="396"/>
      <c r="L224" s="397"/>
      <c r="M224" s="310"/>
      <c r="N224" s="400"/>
      <c r="O224" s="398" t="s">
        <v>278</v>
      </c>
      <c r="P224" s="399" t="s">
        <v>77</v>
      </c>
      <c r="Q224" s="317"/>
      <c r="R224" s="308"/>
      <c r="S224" s="308"/>
      <c r="T224" s="317"/>
      <c r="U224" s="324" t="str">
        <f>IF(ISERROR(VLOOKUP($T224, 'Reference data'!$J$2:$K$139, 2, FALSE)),"-",VLOOKUP($T224, 'Reference data'!$J$2:$K$139, 2, FALSE))</f>
        <v>-</v>
      </c>
      <c r="V224" s="308"/>
      <c r="W224" s="308"/>
      <c r="X224" s="312"/>
      <c r="Y224" s="313"/>
      <c r="Z224" s="69"/>
      <c r="AA224" s="341"/>
      <c r="AB224" s="82"/>
      <c r="AC224" s="71"/>
      <c r="AD224" s="319"/>
      <c r="AE224" s="226" t="s">
        <v>278</v>
      </c>
      <c r="AF224" s="230" t="s">
        <v>77</v>
      </c>
      <c r="AG224" s="322"/>
    </row>
    <row r="225" spans="2:33" s="287" customFormat="1" ht="13" x14ac:dyDescent="0.3">
      <c r="B225" s="326" t="str">
        <f>IF(C225="","Skip",IF(AND(Validator!G219=TRUE,Validator!G469=TRUE,Validator!G719=TRUE,Validator!G969=TRUE,Validator!G1219=TRUE,Validator!G1469=TRUE),"Valid","Invalid"))</f>
        <v>Skip</v>
      </c>
      <c r="C225" s="69"/>
      <c r="D225" s="389"/>
      <c r="E225" s="390"/>
      <c r="F225" s="519"/>
      <c r="G225" s="393"/>
      <c r="H225" s="519"/>
      <c r="I225" s="321"/>
      <c r="J225" s="395"/>
      <c r="K225" s="396"/>
      <c r="L225" s="397"/>
      <c r="M225" s="310"/>
      <c r="N225" s="400"/>
      <c r="O225" s="398" t="s">
        <v>278</v>
      </c>
      <c r="P225" s="399" t="s">
        <v>77</v>
      </c>
      <c r="Q225" s="317"/>
      <c r="R225" s="308"/>
      <c r="S225" s="308"/>
      <c r="T225" s="317"/>
      <c r="U225" s="324" t="str">
        <f>IF(ISERROR(VLOOKUP($T225, 'Reference data'!$J$2:$K$139, 2, FALSE)),"-",VLOOKUP($T225, 'Reference data'!$J$2:$K$139, 2, FALSE))</f>
        <v>-</v>
      </c>
      <c r="V225" s="308"/>
      <c r="W225" s="308"/>
      <c r="X225" s="312"/>
      <c r="Y225" s="313"/>
      <c r="Z225" s="69"/>
      <c r="AA225" s="341"/>
      <c r="AB225" s="82"/>
      <c r="AC225" s="71"/>
      <c r="AD225" s="319"/>
      <c r="AE225" s="226" t="s">
        <v>278</v>
      </c>
      <c r="AF225" s="230" t="s">
        <v>77</v>
      </c>
      <c r="AG225" s="322"/>
    </row>
    <row r="226" spans="2:33" s="287" customFormat="1" ht="13" x14ac:dyDescent="0.3">
      <c r="B226" s="326" t="str">
        <f>IF(C226="","Skip",IF(AND(Validator!G220=TRUE,Validator!G470=TRUE,Validator!G720=TRUE,Validator!G970=TRUE,Validator!G1220=TRUE,Validator!G1470=TRUE),"Valid","Invalid"))</f>
        <v>Skip</v>
      </c>
      <c r="C226" s="69"/>
      <c r="D226" s="389"/>
      <c r="E226" s="390"/>
      <c r="F226" s="519"/>
      <c r="G226" s="393"/>
      <c r="H226" s="519"/>
      <c r="I226" s="321"/>
      <c r="J226" s="395"/>
      <c r="K226" s="396"/>
      <c r="L226" s="397"/>
      <c r="M226" s="310"/>
      <c r="N226" s="400"/>
      <c r="O226" s="398" t="s">
        <v>278</v>
      </c>
      <c r="P226" s="399" t="s">
        <v>77</v>
      </c>
      <c r="Q226" s="317"/>
      <c r="R226" s="308"/>
      <c r="S226" s="308"/>
      <c r="T226" s="317"/>
      <c r="U226" s="324" t="str">
        <f>IF(ISERROR(VLOOKUP($T226, 'Reference data'!$J$2:$K$139, 2, FALSE)),"-",VLOOKUP($T226, 'Reference data'!$J$2:$K$139, 2, FALSE))</f>
        <v>-</v>
      </c>
      <c r="V226" s="308"/>
      <c r="W226" s="308"/>
      <c r="X226" s="312"/>
      <c r="Y226" s="313"/>
      <c r="Z226" s="69"/>
      <c r="AA226" s="341"/>
      <c r="AB226" s="82"/>
      <c r="AC226" s="71"/>
      <c r="AD226" s="319"/>
      <c r="AE226" s="226" t="s">
        <v>278</v>
      </c>
      <c r="AF226" s="230" t="s">
        <v>77</v>
      </c>
      <c r="AG226" s="322"/>
    </row>
    <row r="227" spans="2:33" s="287" customFormat="1" ht="13" x14ac:dyDescent="0.3">
      <c r="B227" s="326" t="str">
        <f>IF(C227="","Skip",IF(AND(Validator!G221=TRUE,Validator!G471=TRUE,Validator!G721=TRUE,Validator!G971=TRUE,Validator!G1221=TRUE,Validator!G1471=TRUE),"Valid","Invalid"))</f>
        <v>Skip</v>
      </c>
      <c r="C227" s="69"/>
      <c r="D227" s="389"/>
      <c r="E227" s="390"/>
      <c r="F227" s="519"/>
      <c r="G227" s="393"/>
      <c r="H227" s="519"/>
      <c r="I227" s="321"/>
      <c r="J227" s="395"/>
      <c r="K227" s="396"/>
      <c r="L227" s="397"/>
      <c r="M227" s="310"/>
      <c r="N227" s="400"/>
      <c r="O227" s="398" t="s">
        <v>278</v>
      </c>
      <c r="P227" s="399" t="s">
        <v>77</v>
      </c>
      <c r="Q227" s="317"/>
      <c r="R227" s="308"/>
      <c r="S227" s="308"/>
      <c r="T227" s="317"/>
      <c r="U227" s="324" t="str">
        <f>IF(ISERROR(VLOOKUP($T227, 'Reference data'!$J$2:$K$139, 2, FALSE)),"-",VLOOKUP($T227, 'Reference data'!$J$2:$K$139, 2, FALSE))</f>
        <v>-</v>
      </c>
      <c r="V227" s="308"/>
      <c r="W227" s="308"/>
      <c r="X227" s="312"/>
      <c r="Y227" s="313"/>
      <c r="Z227" s="69"/>
      <c r="AA227" s="341"/>
      <c r="AB227" s="82"/>
      <c r="AC227" s="71"/>
      <c r="AD227" s="319"/>
      <c r="AE227" s="226" t="s">
        <v>278</v>
      </c>
      <c r="AF227" s="230" t="s">
        <v>77</v>
      </c>
      <c r="AG227" s="322"/>
    </row>
    <row r="228" spans="2:33" s="287" customFormat="1" ht="13" x14ac:dyDescent="0.3">
      <c r="B228" s="326" t="str">
        <f>IF(C228="","Skip",IF(AND(Validator!G222=TRUE,Validator!G472=TRUE,Validator!G722=TRUE,Validator!G972=TRUE,Validator!G1222=TRUE,Validator!G1472=TRUE),"Valid","Invalid"))</f>
        <v>Skip</v>
      </c>
      <c r="C228" s="69"/>
      <c r="D228" s="389"/>
      <c r="E228" s="390"/>
      <c r="F228" s="519"/>
      <c r="G228" s="393"/>
      <c r="H228" s="519"/>
      <c r="I228" s="321"/>
      <c r="J228" s="395"/>
      <c r="K228" s="396"/>
      <c r="L228" s="397"/>
      <c r="M228" s="310"/>
      <c r="N228" s="400"/>
      <c r="O228" s="398" t="s">
        <v>278</v>
      </c>
      <c r="P228" s="399" t="s">
        <v>77</v>
      </c>
      <c r="Q228" s="317"/>
      <c r="R228" s="308"/>
      <c r="S228" s="308"/>
      <c r="T228" s="317"/>
      <c r="U228" s="324" t="str">
        <f>IF(ISERROR(VLOOKUP($T228, 'Reference data'!$J$2:$K$139, 2, FALSE)),"-",VLOOKUP($T228, 'Reference data'!$J$2:$K$139, 2, FALSE))</f>
        <v>-</v>
      </c>
      <c r="V228" s="308"/>
      <c r="W228" s="308"/>
      <c r="X228" s="312"/>
      <c r="Y228" s="313"/>
      <c r="Z228" s="69"/>
      <c r="AA228" s="341"/>
      <c r="AB228" s="82"/>
      <c r="AC228" s="71"/>
      <c r="AD228" s="319"/>
      <c r="AE228" s="226" t="s">
        <v>278</v>
      </c>
      <c r="AF228" s="230" t="s">
        <v>77</v>
      </c>
      <c r="AG228" s="322"/>
    </row>
    <row r="229" spans="2:33" s="287" customFormat="1" ht="13" x14ac:dyDescent="0.3">
      <c r="B229" s="326" t="str">
        <f>IF(C229="","Skip",IF(AND(Validator!G223=TRUE,Validator!G473=TRUE,Validator!G723=TRUE,Validator!G973=TRUE,Validator!G1223=TRUE,Validator!G1473=TRUE),"Valid","Invalid"))</f>
        <v>Skip</v>
      </c>
      <c r="C229" s="69"/>
      <c r="D229" s="389"/>
      <c r="E229" s="390"/>
      <c r="F229" s="519"/>
      <c r="G229" s="393"/>
      <c r="H229" s="519"/>
      <c r="I229" s="321"/>
      <c r="J229" s="395"/>
      <c r="K229" s="396"/>
      <c r="L229" s="397"/>
      <c r="M229" s="310"/>
      <c r="N229" s="400"/>
      <c r="O229" s="398" t="s">
        <v>278</v>
      </c>
      <c r="P229" s="399" t="s">
        <v>77</v>
      </c>
      <c r="Q229" s="317"/>
      <c r="R229" s="308"/>
      <c r="S229" s="308"/>
      <c r="T229" s="317"/>
      <c r="U229" s="324" t="str">
        <f>IF(ISERROR(VLOOKUP($T229, 'Reference data'!$J$2:$K$139, 2, FALSE)),"-",VLOOKUP($T229, 'Reference data'!$J$2:$K$139, 2, FALSE))</f>
        <v>-</v>
      </c>
      <c r="V229" s="308"/>
      <c r="W229" s="308"/>
      <c r="X229" s="312"/>
      <c r="Y229" s="313"/>
      <c r="Z229" s="69"/>
      <c r="AA229" s="341"/>
      <c r="AB229" s="82"/>
      <c r="AC229" s="71"/>
      <c r="AD229" s="319"/>
      <c r="AE229" s="226" t="s">
        <v>278</v>
      </c>
      <c r="AF229" s="230" t="s">
        <v>77</v>
      </c>
      <c r="AG229" s="322"/>
    </row>
    <row r="230" spans="2:33" s="287" customFormat="1" ht="13" x14ac:dyDescent="0.3">
      <c r="B230" s="326" t="str">
        <f>IF(C230="","Skip",IF(AND(Validator!G224=TRUE,Validator!G474=TRUE,Validator!G724=TRUE,Validator!G974=TRUE,Validator!G1224=TRUE,Validator!G1474=TRUE),"Valid","Invalid"))</f>
        <v>Skip</v>
      </c>
      <c r="C230" s="69"/>
      <c r="D230" s="389"/>
      <c r="E230" s="390"/>
      <c r="F230" s="519"/>
      <c r="G230" s="393"/>
      <c r="H230" s="519"/>
      <c r="I230" s="321"/>
      <c r="J230" s="395"/>
      <c r="K230" s="396"/>
      <c r="L230" s="397"/>
      <c r="M230" s="310"/>
      <c r="N230" s="400"/>
      <c r="O230" s="398" t="s">
        <v>278</v>
      </c>
      <c r="P230" s="399" t="s">
        <v>77</v>
      </c>
      <c r="Q230" s="317"/>
      <c r="R230" s="308"/>
      <c r="S230" s="308"/>
      <c r="T230" s="317"/>
      <c r="U230" s="324" t="str">
        <f>IF(ISERROR(VLOOKUP($T230, 'Reference data'!$J$2:$K$139, 2, FALSE)),"-",VLOOKUP($T230, 'Reference data'!$J$2:$K$139, 2, FALSE))</f>
        <v>-</v>
      </c>
      <c r="V230" s="308"/>
      <c r="W230" s="308"/>
      <c r="X230" s="312"/>
      <c r="Y230" s="313"/>
      <c r="Z230" s="69"/>
      <c r="AA230" s="341"/>
      <c r="AB230" s="82"/>
      <c r="AC230" s="71"/>
      <c r="AD230" s="319"/>
      <c r="AE230" s="226" t="s">
        <v>278</v>
      </c>
      <c r="AF230" s="230" t="s">
        <v>77</v>
      </c>
      <c r="AG230" s="322"/>
    </row>
    <row r="231" spans="2:33" s="287" customFormat="1" ht="13" x14ac:dyDescent="0.3">
      <c r="B231" s="326" t="str">
        <f>IF(C231="","Skip",IF(AND(Validator!G225=TRUE,Validator!G475=TRUE,Validator!G725=TRUE,Validator!G975=TRUE,Validator!G1225=TRUE,Validator!G1475=TRUE),"Valid","Invalid"))</f>
        <v>Skip</v>
      </c>
      <c r="C231" s="69"/>
      <c r="D231" s="389"/>
      <c r="E231" s="390"/>
      <c r="F231" s="519"/>
      <c r="G231" s="393"/>
      <c r="H231" s="519"/>
      <c r="I231" s="321"/>
      <c r="J231" s="395"/>
      <c r="K231" s="396"/>
      <c r="L231" s="397"/>
      <c r="M231" s="310"/>
      <c r="N231" s="400"/>
      <c r="O231" s="398" t="s">
        <v>278</v>
      </c>
      <c r="P231" s="399" t="s">
        <v>77</v>
      </c>
      <c r="Q231" s="317"/>
      <c r="R231" s="308"/>
      <c r="S231" s="308"/>
      <c r="T231" s="317"/>
      <c r="U231" s="324" t="str">
        <f>IF(ISERROR(VLOOKUP($T231, 'Reference data'!$J$2:$K$139, 2, FALSE)),"-",VLOOKUP($T231, 'Reference data'!$J$2:$K$139, 2, FALSE))</f>
        <v>-</v>
      </c>
      <c r="V231" s="308"/>
      <c r="W231" s="308"/>
      <c r="X231" s="312"/>
      <c r="Y231" s="313"/>
      <c r="Z231" s="69"/>
      <c r="AA231" s="341"/>
      <c r="AB231" s="82"/>
      <c r="AC231" s="71"/>
      <c r="AD231" s="319"/>
      <c r="AE231" s="226" t="s">
        <v>278</v>
      </c>
      <c r="AF231" s="230" t="s">
        <v>77</v>
      </c>
      <c r="AG231" s="322"/>
    </row>
    <row r="232" spans="2:33" s="287" customFormat="1" ht="13" x14ac:dyDescent="0.3">
      <c r="B232" s="326" t="str">
        <f>IF(C232="","Skip",IF(AND(Validator!G226=TRUE,Validator!G476=TRUE,Validator!G726=TRUE,Validator!G976=TRUE,Validator!G1226=TRUE,Validator!G1476=TRUE),"Valid","Invalid"))</f>
        <v>Skip</v>
      </c>
      <c r="C232" s="69"/>
      <c r="D232" s="389"/>
      <c r="E232" s="390"/>
      <c r="F232" s="519"/>
      <c r="G232" s="393"/>
      <c r="H232" s="519"/>
      <c r="I232" s="321"/>
      <c r="J232" s="395"/>
      <c r="K232" s="396"/>
      <c r="L232" s="397"/>
      <c r="M232" s="310"/>
      <c r="N232" s="400"/>
      <c r="O232" s="398" t="s">
        <v>278</v>
      </c>
      <c r="P232" s="399" t="s">
        <v>77</v>
      </c>
      <c r="Q232" s="317"/>
      <c r="R232" s="308"/>
      <c r="S232" s="308"/>
      <c r="T232" s="317"/>
      <c r="U232" s="324" t="str">
        <f>IF(ISERROR(VLOOKUP($T232, 'Reference data'!$J$2:$K$139, 2, FALSE)),"-",VLOOKUP($T232, 'Reference data'!$J$2:$K$139, 2, FALSE))</f>
        <v>-</v>
      </c>
      <c r="V232" s="308"/>
      <c r="W232" s="308"/>
      <c r="X232" s="312"/>
      <c r="Y232" s="313"/>
      <c r="Z232" s="69"/>
      <c r="AA232" s="341"/>
      <c r="AB232" s="82"/>
      <c r="AC232" s="71"/>
      <c r="AD232" s="319"/>
      <c r="AE232" s="226" t="s">
        <v>278</v>
      </c>
      <c r="AF232" s="230" t="s">
        <v>77</v>
      </c>
      <c r="AG232" s="322"/>
    </row>
    <row r="233" spans="2:33" s="287" customFormat="1" ht="13" x14ac:dyDescent="0.3">
      <c r="B233" s="326" t="str">
        <f>IF(C233="","Skip",IF(AND(Validator!G227=TRUE,Validator!G477=TRUE,Validator!G727=TRUE,Validator!G977=TRUE,Validator!G1227=TRUE,Validator!G1477=TRUE),"Valid","Invalid"))</f>
        <v>Skip</v>
      </c>
      <c r="C233" s="69"/>
      <c r="D233" s="389"/>
      <c r="E233" s="390"/>
      <c r="F233" s="519"/>
      <c r="G233" s="393"/>
      <c r="H233" s="519"/>
      <c r="I233" s="321"/>
      <c r="J233" s="395"/>
      <c r="K233" s="396"/>
      <c r="L233" s="397"/>
      <c r="M233" s="310"/>
      <c r="N233" s="400"/>
      <c r="O233" s="398" t="s">
        <v>278</v>
      </c>
      <c r="P233" s="399" t="s">
        <v>77</v>
      </c>
      <c r="Q233" s="317"/>
      <c r="R233" s="308"/>
      <c r="S233" s="308"/>
      <c r="T233" s="317"/>
      <c r="U233" s="324" t="str">
        <f>IF(ISERROR(VLOOKUP($T233, 'Reference data'!$J$2:$K$139, 2, FALSE)),"-",VLOOKUP($T233, 'Reference data'!$J$2:$K$139, 2, FALSE))</f>
        <v>-</v>
      </c>
      <c r="V233" s="308"/>
      <c r="W233" s="308"/>
      <c r="X233" s="312"/>
      <c r="Y233" s="313"/>
      <c r="Z233" s="69"/>
      <c r="AA233" s="341"/>
      <c r="AB233" s="82"/>
      <c r="AC233" s="71"/>
      <c r="AD233" s="319"/>
      <c r="AE233" s="226" t="s">
        <v>278</v>
      </c>
      <c r="AF233" s="230" t="s">
        <v>77</v>
      </c>
      <c r="AG233" s="322"/>
    </row>
    <row r="234" spans="2:33" s="287" customFormat="1" ht="13" x14ac:dyDescent="0.3">
      <c r="B234" s="326" t="str">
        <f>IF(C234="","Skip",IF(AND(Validator!G228=TRUE,Validator!G478=TRUE,Validator!G728=TRUE,Validator!G978=TRUE,Validator!G1228=TRUE,Validator!G1478=TRUE),"Valid","Invalid"))</f>
        <v>Skip</v>
      </c>
      <c r="C234" s="69"/>
      <c r="D234" s="389"/>
      <c r="E234" s="390"/>
      <c r="F234" s="519"/>
      <c r="G234" s="393"/>
      <c r="H234" s="519"/>
      <c r="I234" s="321"/>
      <c r="J234" s="395"/>
      <c r="K234" s="396"/>
      <c r="L234" s="397"/>
      <c r="M234" s="310"/>
      <c r="N234" s="400"/>
      <c r="O234" s="398" t="s">
        <v>278</v>
      </c>
      <c r="P234" s="399" t="s">
        <v>77</v>
      </c>
      <c r="Q234" s="317"/>
      <c r="R234" s="308"/>
      <c r="S234" s="308"/>
      <c r="T234" s="317"/>
      <c r="U234" s="324" t="str">
        <f>IF(ISERROR(VLOOKUP($T234, 'Reference data'!$J$2:$K$139, 2, FALSE)),"-",VLOOKUP($T234, 'Reference data'!$J$2:$K$139, 2, FALSE))</f>
        <v>-</v>
      </c>
      <c r="V234" s="308"/>
      <c r="W234" s="308"/>
      <c r="X234" s="312"/>
      <c r="Y234" s="313"/>
      <c r="Z234" s="69"/>
      <c r="AA234" s="341"/>
      <c r="AB234" s="82"/>
      <c r="AC234" s="71"/>
      <c r="AD234" s="319"/>
      <c r="AE234" s="226" t="s">
        <v>278</v>
      </c>
      <c r="AF234" s="230" t="s">
        <v>77</v>
      </c>
      <c r="AG234" s="322"/>
    </row>
    <row r="235" spans="2:33" s="287" customFormat="1" ht="13" x14ac:dyDescent="0.3">
      <c r="B235" s="326" t="str">
        <f>IF(C235="","Skip",IF(AND(Validator!G229=TRUE,Validator!G479=TRUE,Validator!G729=TRUE,Validator!G979=TRUE,Validator!G1229=TRUE,Validator!G1479=TRUE),"Valid","Invalid"))</f>
        <v>Skip</v>
      </c>
      <c r="C235" s="69"/>
      <c r="D235" s="389"/>
      <c r="E235" s="390"/>
      <c r="F235" s="519"/>
      <c r="G235" s="393"/>
      <c r="H235" s="519"/>
      <c r="I235" s="321"/>
      <c r="J235" s="395"/>
      <c r="K235" s="396"/>
      <c r="L235" s="397"/>
      <c r="M235" s="310"/>
      <c r="N235" s="400"/>
      <c r="O235" s="398" t="s">
        <v>278</v>
      </c>
      <c r="P235" s="399" t="s">
        <v>77</v>
      </c>
      <c r="Q235" s="317"/>
      <c r="R235" s="308"/>
      <c r="S235" s="308"/>
      <c r="T235" s="317"/>
      <c r="U235" s="324" t="str">
        <f>IF(ISERROR(VLOOKUP($T235, 'Reference data'!$J$2:$K$139, 2, FALSE)),"-",VLOOKUP($T235, 'Reference data'!$J$2:$K$139, 2, FALSE))</f>
        <v>-</v>
      </c>
      <c r="V235" s="308"/>
      <c r="W235" s="308"/>
      <c r="X235" s="312"/>
      <c r="Y235" s="313"/>
      <c r="Z235" s="69"/>
      <c r="AA235" s="341"/>
      <c r="AB235" s="82"/>
      <c r="AC235" s="71"/>
      <c r="AD235" s="319"/>
      <c r="AE235" s="226" t="s">
        <v>278</v>
      </c>
      <c r="AF235" s="230" t="s">
        <v>77</v>
      </c>
      <c r="AG235" s="322"/>
    </row>
    <row r="236" spans="2:33" s="287" customFormat="1" ht="13" x14ac:dyDescent="0.3">
      <c r="B236" s="326" t="str">
        <f>IF(C236="","Skip",IF(AND(Validator!G230=TRUE,Validator!G480=TRUE,Validator!G730=TRUE,Validator!G980=TRUE,Validator!G1230=TRUE,Validator!G1480=TRUE),"Valid","Invalid"))</f>
        <v>Skip</v>
      </c>
      <c r="C236" s="69"/>
      <c r="D236" s="389"/>
      <c r="E236" s="390"/>
      <c r="F236" s="519"/>
      <c r="G236" s="393"/>
      <c r="H236" s="519"/>
      <c r="I236" s="321"/>
      <c r="J236" s="395"/>
      <c r="K236" s="396"/>
      <c r="L236" s="397"/>
      <c r="M236" s="310"/>
      <c r="N236" s="400"/>
      <c r="O236" s="398" t="s">
        <v>278</v>
      </c>
      <c r="P236" s="399" t="s">
        <v>77</v>
      </c>
      <c r="Q236" s="317"/>
      <c r="R236" s="308"/>
      <c r="S236" s="308"/>
      <c r="T236" s="317"/>
      <c r="U236" s="324" t="str">
        <f>IF(ISERROR(VLOOKUP($T236, 'Reference data'!$J$2:$K$139, 2, FALSE)),"-",VLOOKUP($T236, 'Reference data'!$J$2:$K$139, 2, FALSE))</f>
        <v>-</v>
      </c>
      <c r="V236" s="308"/>
      <c r="W236" s="308"/>
      <c r="X236" s="312"/>
      <c r="Y236" s="313"/>
      <c r="Z236" s="69"/>
      <c r="AA236" s="341"/>
      <c r="AB236" s="82"/>
      <c r="AC236" s="71"/>
      <c r="AD236" s="319"/>
      <c r="AE236" s="226" t="s">
        <v>278</v>
      </c>
      <c r="AF236" s="230" t="s">
        <v>77</v>
      </c>
      <c r="AG236" s="322"/>
    </row>
    <row r="237" spans="2:33" s="287" customFormat="1" ht="13" x14ac:dyDescent="0.3">
      <c r="B237" s="326" t="str">
        <f>IF(C237="","Skip",IF(AND(Validator!G231=TRUE,Validator!G481=TRUE,Validator!G731=TRUE,Validator!G981=TRUE,Validator!G1231=TRUE,Validator!G1481=TRUE),"Valid","Invalid"))</f>
        <v>Skip</v>
      </c>
      <c r="C237" s="69"/>
      <c r="D237" s="389"/>
      <c r="E237" s="390"/>
      <c r="F237" s="519"/>
      <c r="G237" s="393"/>
      <c r="H237" s="519"/>
      <c r="I237" s="321"/>
      <c r="J237" s="395"/>
      <c r="K237" s="396"/>
      <c r="L237" s="397"/>
      <c r="M237" s="310"/>
      <c r="N237" s="400"/>
      <c r="O237" s="398" t="s">
        <v>278</v>
      </c>
      <c r="P237" s="399" t="s">
        <v>77</v>
      </c>
      <c r="Q237" s="317"/>
      <c r="R237" s="308"/>
      <c r="S237" s="308"/>
      <c r="T237" s="317"/>
      <c r="U237" s="324" t="str">
        <f>IF(ISERROR(VLOOKUP($T237, 'Reference data'!$J$2:$K$139, 2, FALSE)),"-",VLOOKUP($T237, 'Reference data'!$J$2:$K$139, 2, FALSE))</f>
        <v>-</v>
      </c>
      <c r="V237" s="308"/>
      <c r="W237" s="308"/>
      <c r="X237" s="312"/>
      <c r="Y237" s="313"/>
      <c r="Z237" s="69"/>
      <c r="AA237" s="341"/>
      <c r="AB237" s="82"/>
      <c r="AC237" s="71"/>
      <c r="AD237" s="319"/>
      <c r="AE237" s="226" t="s">
        <v>278</v>
      </c>
      <c r="AF237" s="230" t="s">
        <v>77</v>
      </c>
      <c r="AG237" s="322"/>
    </row>
    <row r="238" spans="2:33" s="287" customFormat="1" ht="13" x14ac:dyDescent="0.3">
      <c r="B238" s="326" t="str">
        <f>IF(C238="","Skip",IF(AND(Validator!G232=TRUE,Validator!G482=TRUE,Validator!G732=TRUE,Validator!G982=TRUE,Validator!G1232=TRUE,Validator!G1482=TRUE),"Valid","Invalid"))</f>
        <v>Skip</v>
      </c>
      <c r="C238" s="69"/>
      <c r="D238" s="389"/>
      <c r="E238" s="390"/>
      <c r="F238" s="519"/>
      <c r="G238" s="393"/>
      <c r="H238" s="519"/>
      <c r="I238" s="321"/>
      <c r="J238" s="395"/>
      <c r="K238" s="396"/>
      <c r="L238" s="397"/>
      <c r="M238" s="310"/>
      <c r="N238" s="400"/>
      <c r="O238" s="398" t="s">
        <v>278</v>
      </c>
      <c r="P238" s="399" t="s">
        <v>77</v>
      </c>
      <c r="Q238" s="317"/>
      <c r="R238" s="308"/>
      <c r="S238" s="308"/>
      <c r="T238" s="317"/>
      <c r="U238" s="324" t="str">
        <f>IF(ISERROR(VLOOKUP($T238, 'Reference data'!$J$2:$K$139, 2, FALSE)),"-",VLOOKUP($T238, 'Reference data'!$J$2:$K$139, 2, FALSE))</f>
        <v>-</v>
      </c>
      <c r="V238" s="308"/>
      <c r="W238" s="308"/>
      <c r="X238" s="312"/>
      <c r="Y238" s="313"/>
      <c r="Z238" s="69"/>
      <c r="AA238" s="341"/>
      <c r="AB238" s="82"/>
      <c r="AC238" s="71"/>
      <c r="AD238" s="319"/>
      <c r="AE238" s="226" t="s">
        <v>278</v>
      </c>
      <c r="AF238" s="230" t="s">
        <v>77</v>
      </c>
      <c r="AG238" s="322"/>
    </row>
    <row r="239" spans="2:33" s="287" customFormat="1" ht="13" x14ac:dyDescent="0.3">
      <c r="B239" s="326" t="str">
        <f>IF(C239="","Skip",IF(AND(Validator!G233=TRUE,Validator!G483=TRUE,Validator!G733=TRUE,Validator!G983=TRUE,Validator!G1233=TRUE,Validator!G1483=TRUE),"Valid","Invalid"))</f>
        <v>Skip</v>
      </c>
      <c r="C239" s="69"/>
      <c r="D239" s="389"/>
      <c r="E239" s="390"/>
      <c r="F239" s="519"/>
      <c r="G239" s="393"/>
      <c r="H239" s="519"/>
      <c r="I239" s="321"/>
      <c r="J239" s="395"/>
      <c r="K239" s="396"/>
      <c r="L239" s="397"/>
      <c r="M239" s="310"/>
      <c r="N239" s="400"/>
      <c r="O239" s="398" t="s">
        <v>278</v>
      </c>
      <c r="P239" s="399" t="s">
        <v>77</v>
      </c>
      <c r="Q239" s="317"/>
      <c r="R239" s="308"/>
      <c r="S239" s="308"/>
      <c r="T239" s="317"/>
      <c r="U239" s="324" t="str">
        <f>IF(ISERROR(VLOOKUP($T239, 'Reference data'!$J$2:$K$139, 2, FALSE)),"-",VLOOKUP($T239, 'Reference data'!$J$2:$K$139, 2, FALSE))</f>
        <v>-</v>
      </c>
      <c r="V239" s="308"/>
      <c r="W239" s="308"/>
      <c r="X239" s="312"/>
      <c r="Y239" s="313"/>
      <c r="Z239" s="69"/>
      <c r="AA239" s="341"/>
      <c r="AB239" s="82"/>
      <c r="AC239" s="71"/>
      <c r="AD239" s="319"/>
      <c r="AE239" s="226" t="s">
        <v>278</v>
      </c>
      <c r="AF239" s="230" t="s">
        <v>77</v>
      </c>
      <c r="AG239" s="322"/>
    </row>
    <row r="240" spans="2:33" s="287" customFormat="1" ht="13" x14ac:dyDescent="0.3">
      <c r="B240" s="326" t="str">
        <f>IF(C240="","Skip",IF(AND(Validator!G234=TRUE,Validator!G484=TRUE,Validator!G734=TRUE,Validator!G984=TRUE,Validator!G1234=TRUE,Validator!G1484=TRUE),"Valid","Invalid"))</f>
        <v>Skip</v>
      </c>
      <c r="C240" s="69"/>
      <c r="D240" s="389"/>
      <c r="E240" s="390"/>
      <c r="F240" s="519"/>
      <c r="G240" s="393"/>
      <c r="H240" s="519"/>
      <c r="I240" s="321"/>
      <c r="J240" s="395"/>
      <c r="K240" s="396"/>
      <c r="L240" s="397"/>
      <c r="M240" s="310"/>
      <c r="N240" s="400"/>
      <c r="O240" s="398" t="s">
        <v>278</v>
      </c>
      <c r="P240" s="399" t="s">
        <v>77</v>
      </c>
      <c r="Q240" s="317"/>
      <c r="R240" s="308"/>
      <c r="S240" s="308"/>
      <c r="T240" s="317"/>
      <c r="U240" s="324" t="str">
        <f>IF(ISERROR(VLOOKUP($T240, 'Reference data'!$J$2:$K$139, 2, FALSE)),"-",VLOOKUP($T240, 'Reference data'!$J$2:$K$139, 2, FALSE))</f>
        <v>-</v>
      </c>
      <c r="V240" s="308"/>
      <c r="W240" s="308"/>
      <c r="X240" s="312"/>
      <c r="Y240" s="313"/>
      <c r="Z240" s="69"/>
      <c r="AA240" s="341"/>
      <c r="AB240" s="82"/>
      <c r="AC240" s="71"/>
      <c r="AD240" s="319"/>
      <c r="AE240" s="226" t="s">
        <v>278</v>
      </c>
      <c r="AF240" s="230" t="s">
        <v>77</v>
      </c>
      <c r="AG240" s="322"/>
    </row>
    <row r="241" spans="2:33" s="287" customFormat="1" ht="13" x14ac:dyDescent="0.3">
      <c r="B241" s="326" t="str">
        <f>IF(C241="","Skip",IF(AND(Validator!G235=TRUE,Validator!G485=TRUE,Validator!G735=TRUE,Validator!G985=TRUE,Validator!G1235=TRUE,Validator!G1485=TRUE),"Valid","Invalid"))</f>
        <v>Skip</v>
      </c>
      <c r="C241" s="69"/>
      <c r="D241" s="389"/>
      <c r="E241" s="390"/>
      <c r="F241" s="519"/>
      <c r="G241" s="393"/>
      <c r="H241" s="519"/>
      <c r="I241" s="321"/>
      <c r="J241" s="395"/>
      <c r="K241" s="396"/>
      <c r="L241" s="397"/>
      <c r="M241" s="310"/>
      <c r="N241" s="400"/>
      <c r="O241" s="398" t="s">
        <v>278</v>
      </c>
      <c r="P241" s="399" t="s">
        <v>77</v>
      </c>
      <c r="Q241" s="317"/>
      <c r="R241" s="308"/>
      <c r="S241" s="308"/>
      <c r="T241" s="317"/>
      <c r="U241" s="324" t="str">
        <f>IF(ISERROR(VLOOKUP($T241, 'Reference data'!$J$2:$K$139, 2, FALSE)),"-",VLOOKUP($T241, 'Reference data'!$J$2:$K$139, 2, FALSE))</f>
        <v>-</v>
      </c>
      <c r="V241" s="308"/>
      <c r="W241" s="308"/>
      <c r="X241" s="312"/>
      <c r="Y241" s="313"/>
      <c r="Z241" s="69"/>
      <c r="AA241" s="341"/>
      <c r="AB241" s="82"/>
      <c r="AC241" s="71"/>
      <c r="AD241" s="319"/>
      <c r="AE241" s="226" t="s">
        <v>278</v>
      </c>
      <c r="AF241" s="230" t="s">
        <v>77</v>
      </c>
      <c r="AG241" s="322"/>
    </row>
    <row r="242" spans="2:33" s="287" customFormat="1" ht="13" x14ac:dyDescent="0.3">
      <c r="B242" s="326" t="str">
        <f>IF(C242="","Skip",IF(AND(Validator!G236=TRUE,Validator!G486=TRUE,Validator!G736=TRUE,Validator!G986=TRUE,Validator!G1236=TRUE,Validator!G1486=TRUE),"Valid","Invalid"))</f>
        <v>Skip</v>
      </c>
      <c r="C242" s="69"/>
      <c r="D242" s="389"/>
      <c r="E242" s="390"/>
      <c r="F242" s="519"/>
      <c r="G242" s="393"/>
      <c r="H242" s="519"/>
      <c r="I242" s="321"/>
      <c r="J242" s="395"/>
      <c r="K242" s="396"/>
      <c r="L242" s="397"/>
      <c r="M242" s="310"/>
      <c r="N242" s="400"/>
      <c r="O242" s="398" t="s">
        <v>278</v>
      </c>
      <c r="P242" s="399" t="s">
        <v>77</v>
      </c>
      <c r="Q242" s="317"/>
      <c r="R242" s="308"/>
      <c r="S242" s="308"/>
      <c r="T242" s="317"/>
      <c r="U242" s="324" t="str">
        <f>IF(ISERROR(VLOOKUP($T242, 'Reference data'!$J$2:$K$139, 2, FALSE)),"-",VLOOKUP($T242, 'Reference data'!$J$2:$K$139, 2, FALSE))</f>
        <v>-</v>
      </c>
      <c r="V242" s="308"/>
      <c r="W242" s="308"/>
      <c r="X242" s="312"/>
      <c r="Y242" s="313"/>
      <c r="Z242" s="69"/>
      <c r="AA242" s="341"/>
      <c r="AB242" s="82"/>
      <c r="AC242" s="71"/>
      <c r="AD242" s="319"/>
      <c r="AE242" s="226" t="s">
        <v>278</v>
      </c>
      <c r="AF242" s="230" t="s">
        <v>77</v>
      </c>
      <c r="AG242" s="322"/>
    </row>
    <row r="243" spans="2:33" s="287" customFormat="1" ht="13" x14ac:dyDescent="0.3">
      <c r="B243" s="326" t="str">
        <f>IF(C243="","Skip",IF(AND(Validator!G237=TRUE,Validator!G487=TRUE,Validator!G737=TRUE,Validator!G987=TRUE,Validator!G1237=TRUE,Validator!G1487=TRUE),"Valid","Invalid"))</f>
        <v>Skip</v>
      </c>
      <c r="C243" s="69"/>
      <c r="D243" s="389"/>
      <c r="E243" s="390"/>
      <c r="F243" s="519"/>
      <c r="G243" s="393"/>
      <c r="H243" s="519"/>
      <c r="I243" s="321"/>
      <c r="J243" s="395"/>
      <c r="K243" s="396"/>
      <c r="L243" s="397"/>
      <c r="M243" s="310"/>
      <c r="N243" s="400"/>
      <c r="O243" s="398" t="s">
        <v>278</v>
      </c>
      <c r="P243" s="399" t="s">
        <v>77</v>
      </c>
      <c r="Q243" s="317"/>
      <c r="R243" s="308"/>
      <c r="S243" s="308"/>
      <c r="T243" s="317"/>
      <c r="U243" s="324" t="str">
        <f>IF(ISERROR(VLOOKUP($T243, 'Reference data'!$J$2:$K$139, 2, FALSE)),"-",VLOOKUP($T243, 'Reference data'!$J$2:$K$139, 2, FALSE))</f>
        <v>-</v>
      </c>
      <c r="V243" s="308"/>
      <c r="W243" s="308"/>
      <c r="X243" s="312"/>
      <c r="Y243" s="313"/>
      <c r="Z243" s="69"/>
      <c r="AA243" s="341"/>
      <c r="AB243" s="82"/>
      <c r="AC243" s="71"/>
      <c r="AD243" s="319"/>
      <c r="AE243" s="226" t="s">
        <v>278</v>
      </c>
      <c r="AF243" s="230" t="s">
        <v>77</v>
      </c>
      <c r="AG243" s="322"/>
    </row>
    <row r="244" spans="2:33" s="287" customFormat="1" ht="13" x14ac:dyDescent="0.3">
      <c r="B244" s="326" t="str">
        <f>IF(C244="","Skip",IF(AND(Validator!G238=TRUE,Validator!G488=TRUE,Validator!G738=TRUE,Validator!G988=TRUE,Validator!G1238=TRUE,Validator!G1488=TRUE),"Valid","Invalid"))</f>
        <v>Skip</v>
      </c>
      <c r="C244" s="69"/>
      <c r="D244" s="389"/>
      <c r="E244" s="390"/>
      <c r="F244" s="519"/>
      <c r="G244" s="393"/>
      <c r="H244" s="519"/>
      <c r="I244" s="321"/>
      <c r="J244" s="395"/>
      <c r="K244" s="396"/>
      <c r="L244" s="397"/>
      <c r="M244" s="310"/>
      <c r="N244" s="400"/>
      <c r="O244" s="398" t="s">
        <v>278</v>
      </c>
      <c r="P244" s="399" t="s">
        <v>77</v>
      </c>
      <c r="Q244" s="317"/>
      <c r="R244" s="308"/>
      <c r="S244" s="308"/>
      <c r="T244" s="317"/>
      <c r="U244" s="324" t="str">
        <f>IF(ISERROR(VLOOKUP($T244, 'Reference data'!$J$2:$K$139, 2, FALSE)),"-",VLOOKUP($T244, 'Reference data'!$J$2:$K$139, 2, FALSE))</f>
        <v>-</v>
      </c>
      <c r="V244" s="308"/>
      <c r="W244" s="308"/>
      <c r="X244" s="312"/>
      <c r="Y244" s="313"/>
      <c r="Z244" s="69"/>
      <c r="AA244" s="341"/>
      <c r="AB244" s="82"/>
      <c r="AC244" s="71"/>
      <c r="AD244" s="319"/>
      <c r="AE244" s="226" t="s">
        <v>278</v>
      </c>
      <c r="AF244" s="230" t="s">
        <v>77</v>
      </c>
      <c r="AG244" s="322"/>
    </row>
    <row r="245" spans="2:33" s="287" customFormat="1" ht="13" x14ac:dyDescent="0.3">
      <c r="B245" s="326" t="str">
        <f>IF(C245="","Skip",IF(AND(Validator!G239=TRUE,Validator!G489=TRUE,Validator!G739=TRUE,Validator!G989=TRUE,Validator!G1239=TRUE,Validator!G1489=TRUE),"Valid","Invalid"))</f>
        <v>Skip</v>
      </c>
      <c r="C245" s="69"/>
      <c r="D245" s="389"/>
      <c r="E245" s="390"/>
      <c r="F245" s="519"/>
      <c r="G245" s="393"/>
      <c r="H245" s="519"/>
      <c r="I245" s="321"/>
      <c r="J245" s="395"/>
      <c r="K245" s="396"/>
      <c r="L245" s="397"/>
      <c r="M245" s="310"/>
      <c r="N245" s="400"/>
      <c r="O245" s="398" t="s">
        <v>278</v>
      </c>
      <c r="P245" s="399" t="s">
        <v>77</v>
      </c>
      <c r="Q245" s="317"/>
      <c r="R245" s="308"/>
      <c r="S245" s="308"/>
      <c r="T245" s="317"/>
      <c r="U245" s="324" t="str">
        <f>IF(ISERROR(VLOOKUP($T245, 'Reference data'!$J$2:$K$139, 2, FALSE)),"-",VLOOKUP($T245, 'Reference data'!$J$2:$K$139, 2, FALSE))</f>
        <v>-</v>
      </c>
      <c r="V245" s="308"/>
      <c r="W245" s="308"/>
      <c r="X245" s="312"/>
      <c r="Y245" s="313"/>
      <c r="Z245" s="69"/>
      <c r="AA245" s="341"/>
      <c r="AB245" s="82"/>
      <c r="AC245" s="71"/>
      <c r="AD245" s="319"/>
      <c r="AE245" s="226" t="s">
        <v>278</v>
      </c>
      <c r="AF245" s="230" t="s">
        <v>77</v>
      </c>
      <c r="AG245" s="322"/>
    </row>
    <row r="246" spans="2:33" s="287" customFormat="1" ht="13" x14ac:dyDescent="0.3">
      <c r="B246" s="326" t="str">
        <f>IF(C246="","Skip",IF(AND(Validator!G240=TRUE,Validator!G490=TRUE,Validator!G740=TRUE,Validator!G990=TRUE,Validator!G1240=TRUE,Validator!G1490=TRUE),"Valid","Invalid"))</f>
        <v>Skip</v>
      </c>
      <c r="C246" s="69"/>
      <c r="D246" s="389"/>
      <c r="E246" s="390"/>
      <c r="F246" s="519"/>
      <c r="G246" s="393"/>
      <c r="H246" s="519"/>
      <c r="I246" s="321"/>
      <c r="J246" s="395"/>
      <c r="K246" s="396"/>
      <c r="L246" s="397"/>
      <c r="M246" s="310"/>
      <c r="N246" s="400"/>
      <c r="O246" s="398" t="s">
        <v>278</v>
      </c>
      <c r="P246" s="399" t="s">
        <v>77</v>
      </c>
      <c r="Q246" s="317"/>
      <c r="R246" s="308"/>
      <c r="S246" s="308"/>
      <c r="T246" s="317"/>
      <c r="U246" s="324" t="str">
        <f>IF(ISERROR(VLOOKUP($T246, 'Reference data'!$J$2:$K$139, 2, FALSE)),"-",VLOOKUP($T246, 'Reference data'!$J$2:$K$139, 2, FALSE))</f>
        <v>-</v>
      </c>
      <c r="V246" s="308"/>
      <c r="W246" s="308"/>
      <c r="X246" s="312"/>
      <c r="Y246" s="313"/>
      <c r="Z246" s="69"/>
      <c r="AA246" s="341"/>
      <c r="AB246" s="82"/>
      <c r="AC246" s="71"/>
      <c r="AD246" s="319"/>
      <c r="AE246" s="226" t="s">
        <v>278</v>
      </c>
      <c r="AF246" s="230" t="s">
        <v>77</v>
      </c>
      <c r="AG246" s="322"/>
    </row>
    <row r="247" spans="2:33" s="287" customFormat="1" ht="13" x14ac:dyDescent="0.3">
      <c r="B247" s="326" t="str">
        <f>IF(C247="","Skip",IF(AND(Validator!G241=TRUE,Validator!G491=TRUE,Validator!G741=TRUE,Validator!G991=TRUE,Validator!G1241=TRUE,Validator!G1491=TRUE),"Valid","Invalid"))</f>
        <v>Skip</v>
      </c>
      <c r="C247" s="69"/>
      <c r="D247" s="389"/>
      <c r="E247" s="390"/>
      <c r="F247" s="519"/>
      <c r="G247" s="393"/>
      <c r="H247" s="519"/>
      <c r="I247" s="321"/>
      <c r="J247" s="395"/>
      <c r="K247" s="396"/>
      <c r="L247" s="397"/>
      <c r="M247" s="310"/>
      <c r="N247" s="400"/>
      <c r="O247" s="398" t="s">
        <v>278</v>
      </c>
      <c r="P247" s="399" t="s">
        <v>77</v>
      </c>
      <c r="Q247" s="317"/>
      <c r="R247" s="308"/>
      <c r="S247" s="308"/>
      <c r="T247" s="317"/>
      <c r="U247" s="324" t="str">
        <f>IF(ISERROR(VLOOKUP($T247, 'Reference data'!$J$2:$K$139, 2, FALSE)),"-",VLOOKUP($T247, 'Reference data'!$J$2:$K$139, 2, FALSE))</f>
        <v>-</v>
      </c>
      <c r="V247" s="308"/>
      <c r="W247" s="308"/>
      <c r="X247" s="312"/>
      <c r="Y247" s="313"/>
      <c r="Z247" s="69"/>
      <c r="AA247" s="341"/>
      <c r="AB247" s="82"/>
      <c r="AC247" s="71"/>
      <c r="AD247" s="319"/>
      <c r="AE247" s="226" t="s">
        <v>278</v>
      </c>
      <c r="AF247" s="230" t="s">
        <v>77</v>
      </c>
      <c r="AG247" s="322"/>
    </row>
    <row r="248" spans="2:33" s="287" customFormat="1" ht="13" x14ac:dyDescent="0.3">
      <c r="B248" s="326" t="str">
        <f>IF(C248="","Skip",IF(AND(Validator!G242=TRUE,Validator!G492=TRUE,Validator!G742=TRUE,Validator!G992=TRUE,Validator!G1242=TRUE,Validator!G1492=TRUE),"Valid","Invalid"))</f>
        <v>Skip</v>
      </c>
      <c r="C248" s="69"/>
      <c r="D248" s="389"/>
      <c r="E248" s="390"/>
      <c r="F248" s="519"/>
      <c r="G248" s="393"/>
      <c r="H248" s="519"/>
      <c r="I248" s="321"/>
      <c r="J248" s="395"/>
      <c r="K248" s="396"/>
      <c r="L248" s="397"/>
      <c r="M248" s="310"/>
      <c r="N248" s="400"/>
      <c r="O248" s="398" t="s">
        <v>278</v>
      </c>
      <c r="P248" s="399" t="s">
        <v>77</v>
      </c>
      <c r="Q248" s="317"/>
      <c r="R248" s="308"/>
      <c r="S248" s="308"/>
      <c r="T248" s="317"/>
      <c r="U248" s="324" t="str">
        <f>IF(ISERROR(VLOOKUP($T248, 'Reference data'!$J$2:$K$139, 2, FALSE)),"-",VLOOKUP($T248, 'Reference data'!$J$2:$K$139, 2, FALSE))</f>
        <v>-</v>
      </c>
      <c r="V248" s="308"/>
      <c r="W248" s="308"/>
      <c r="X248" s="312"/>
      <c r="Y248" s="313"/>
      <c r="Z248" s="69"/>
      <c r="AA248" s="341"/>
      <c r="AB248" s="82"/>
      <c r="AC248" s="71"/>
      <c r="AD248" s="319"/>
      <c r="AE248" s="226" t="s">
        <v>278</v>
      </c>
      <c r="AF248" s="230" t="s">
        <v>77</v>
      </c>
      <c r="AG248" s="322"/>
    </row>
    <row r="249" spans="2:33" s="287" customFormat="1" ht="13" x14ac:dyDescent="0.3">
      <c r="B249" s="326" t="str">
        <f>IF(C249="","Skip",IF(AND(Validator!G243=TRUE,Validator!G493=TRUE,Validator!G743=TRUE,Validator!G993=TRUE,Validator!G1243=TRUE,Validator!G1493=TRUE),"Valid","Invalid"))</f>
        <v>Skip</v>
      </c>
      <c r="C249" s="69"/>
      <c r="D249" s="389"/>
      <c r="E249" s="390"/>
      <c r="F249" s="519"/>
      <c r="G249" s="393"/>
      <c r="H249" s="519"/>
      <c r="I249" s="321"/>
      <c r="J249" s="395"/>
      <c r="K249" s="396"/>
      <c r="L249" s="397"/>
      <c r="M249" s="310"/>
      <c r="N249" s="400"/>
      <c r="O249" s="398" t="s">
        <v>278</v>
      </c>
      <c r="P249" s="399" t="s">
        <v>77</v>
      </c>
      <c r="Q249" s="317"/>
      <c r="R249" s="308"/>
      <c r="S249" s="308"/>
      <c r="T249" s="317"/>
      <c r="U249" s="324" t="str">
        <f>IF(ISERROR(VLOOKUP($T249, 'Reference data'!$J$2:$K$139, 2, FALSE)),"-",VLOOKUP($T249, 'Reference data'!$J$2:$K$139, 2, FALSE))</f>
        <v>-</v>
      </c>
      <c r="V249" s="308"/>
      <c r="W249" s="308"/>
      <c r="X249" s="312"/>
      <c r="Y249" s="313"/>
      <c r="Z249" s="69"/>
      <c r="AA249" s="341"/>
      <c r="AB249" s="82"/>
      <c r="AC249" s="71"/>
      <c r="AD249" s="319"/>
      <c r="AE249" s="226" t="s">
        <v>278</v>
      </c>
      <c r="AF249" s="230" t="s">
        <v>77</v>
      </c>
      <c r="AG249" s="322"/>
    </row>
    <row r="250" spans="2:33" s="287" customFormat="1" ht="13" x14ac:dyDescent="0.3">
      <c r="B250" s="326" t="str">
        <f>IF(C250="","Skip",IF(AND(Validator!G244=TRUE,Validator!G494=TRUE,Validator!G744=TRUE,Validator!G994=TRUE,Validator!G1244=TRUE,Validator!G1494=TRUE),"Valid","Invalid"))</f>
        <v>Skip</v>
      </c>
      <c r="C250" s="69"/>
      <c r="D250" s="389"/>
      <c r="E250" s="390"/>
      <c r="F250" s="519"/>
      <c r="G250" s="393"/>
      <c r="H250" s="519"/>
      <c r="I250" s="321"/>
      <c r="J250" s="395"/>
      <c r="K250" s="396"/>
      <c r="L250" s="397"/>
      <c r="M250" s="310"/>
      <c r="N250" s="400"/>
      <c r="O250" s="398" t="s">
        <v>278</v>
      </c>
      <c r="P250" s="399" t="s">
        <v>77</v>
      </c>
      <c r="Q250" s="317"/>
      <c r="R250" s="308"/>
      <c r="S250" s="308"/>
      <c r="T250" s="317"/>
      <c r="U250" s="324" t="str">
        <f>IF(ISERROR(VLOOKUP($T250, 'Reference data'!$J$2:$K$139, 2, FALSE)),"-",VLOOKUP($T250, 'Reference data'!$J$2:$K$139, 2, FALSE))</f>
        <v>-</v>
      </c>
      <c r="V250" s="308"/>
      <c r="W250" s="308"/>
      <c r="X250" s="312"/>
      <c r="Y250" s="313"/>
      <c r="Z250" s="69"/>
      <c r="AA250" s="341"/>
      <c r="AB250" s="82"/>
      <c r="AC250" s="71"/>
      <c r="AD250" s="319"/>
      <c r="AE250" s="226" t="s">
        <v>278</v>
      </c>
      <c r="AF250" s="230" t="s">
        <v>77</v>
      </c>
      <c r="AG250" s="322"/>
    </row>
    <row r="251" spans="2:33" s="287" customFormat="1" ht="13" x14ac:dyDescent="0.3">
      <c r="B251" s="326" t="str">
        <f>IF(C251="","Skip",IF(AND(Validator!G245=TRUE,Validator!G495=TRUE,Validator!G745=TRUE,Validator!G995=TRUE,Validator!G1245=TRUE,Validator!G1495=TRUE),"Valid","Invalid"))</f>
        <v>Skip</v>
      </c>
      <c r="C251" s="69"/>
      <c r="D251" s="389"/>
      <c r="E251" s="390"/>
      <c r="F251" s="519"/>
      <c r="G251" s="393"/>
      <c r="H251" s="519"/>
      <c r="I251" s="321"/>
      <c r="J251" s="395"/>
      <c r="K251" s="396"/>
      <c r="L251" s="397"/>
      <c r="M251" s="310"/>
      <c r="N251" s="400"/>
      <c r="O251" s="398" t="s">
        <v>278</v>
      </c>
      <c r="P251" s="399" t="s">
        <v>77</v>
      </c>
      <c r="Q251" s="317"/>
      <c r="R251" s="308"/>
      <c r="S251" s="308"/>
      <c r="T251" s="317"/>
      <c r="U251" s="324" t="str">
        <f>IF(ISERROR(VLOOKUP($T251, 'Reference data'!$J$2:$K$139, 2, FALSE)),"-",VLOOKUP($T251, 'Reference data'!$J$2:$K$139, 2, FALSE))</f>
        <v>-</v>
      </c>
      <c r="V251" s="308"/>
      <c r="W251" s="308"/>
      <c r="X251" s="312"/>
      <c r="Y251" s="313"/>
      <c r="Z251" s="69"/>
      <c r="AA251" s="341"/>
      <c r="AB251" s="82"/>
      <c r="AC251" s="71"/>
      <c r="AD251" s="319"/>
      <c r="AE251" s="226" t="s">
        <v>278</v>
      </c>
      <c r="AF251" s="230" t="s">
        <v>77</v>
      </c>
      <c r="AG251" s="322"/>
    </row>
    <row r="252" spans="2:33" s="287" customFormat="1" ht="13" x14ac:dyDescent="0.3">
      <c r="B252" s="326" t="str">
        <f>IF(C252="","Skip",IF(AND(Validator!G246=TRUE,Validator!G496=TRUE,Validator!G746=TRUE,Validator!G996=TRUE,Validator!G1246=TRUE,Validator!G1496=TRUE),"Valid","Invalid"))</f>
        <v>Skip</v>
      </c>
      <c r="C252" s="69"/>
      <c r="D252" s="389"/>
      <c r="E252" s="390"/>
      <c r="F252" s="519"/>
      <c r="G252" s="393"/>
      <c r="H252" s="519"/>
      <c r="I252" s="321"/>
      <c r="J252" s="395"/>
      <c r="K252" s="396"/>
      <c r="L252" s="397"/>
      <c r="M252" s="310"/>
      <c r="N252" s="400"/>
      <c r="O252" s="398" t="s">
        <v>278</v>
      </c>
      <c r="P252" s="399" t="s">
        <v>77</v>
      </c>
      <c r="Q252" s="317"/>
      <c r="R252" s="308"/>
      <c r="S252" s="308"/>
      <c r="T252" s="317"/>
      <c r="U252" s="324" t="str">
        <f>IF(ISERROR(VLOOKUP($T252, 'Reference data'!$J$2:$K$139, 2, FALSE)),"-",VLOOKUP($T252, 'Reference data'!$J$2:$K$139, 2, FALSE))</f>
        <v>-</v>
      </c>
      <c r="V252" s="308"/>
      <c r="W252" s="308"/>
      <c r="X252" s="312"/>
      <c r="Y252" s="313"/>
      <c r="Z252" s="69"/>
      <c r="AA252" s="341"/>
      <c r="AB252" s="82"/>
      <c r="AC252" s="71"/>
      <c r="AD252" s="319"/>
      <c r="AE252" s="226" t="s">
        <v>278</v>
      </c>
      <c r="AF252" s="230" t="s">
        <v>77</v>
      </c>
      <c r="AG252" s="322"/>
    </row>
    <row r="253" spans="2:33" s="287" customFormat="1" ht="13" x14ac:dyDescent="0.3">
      <c r="B253" s="326" t="str">
        <f>IF(C253="","Skip",IF(AND(Validator!G247=TRUE,Validator!G497=TRUE,Validator!G747=TRUE,Validator!G997=TRUE,Validator!G1247=TRUE,Validator!G1497=TRUE),"Valid","Invalid"))</f>
        <v>Skip</v>
      </c>
      <c r="C253" s="69"/>
      <c r="D253" s="389"/>
      <c r="E253" s="390"/>
      <c r="F253" s="519"/>
      <c r="G253" s="393"/>
      <c r="H253" s="519"/>
      <c r="I253" s="321"/>
      <c r="J253" s="395"/>
      <c r="K253" s="396"/>
      <c r="L253" s="397"/>
      <c r="M253" s="310"/>
      <c r="N253" s="400"/>
      <c r="O253" s="398" t="s">
        <v>278</v>
      </c>
      <c r="P253" s="399" t="s">
        <v>77</v>
      </c>
      <c r="Q253" s="317"/>
      <c r="R253" s="308"/>
      <c r="S253" s="308"/>
      <c r="T253" s="317"/>
      <c r="U253" s="324" t="str">
        <f>IF(ISERROR(VLOOKUP($T253, 'Reference data'!$J$2:$K$139, 2, FALSE)),"-",VLOOKUP($T253, 'Reference data'!$J$2:$K$139, 2, FALSE))</f>
        <v>-</v>
      </c>
      <c r="V253" s="308"/>
      <c r="W253" s="308"/>
      <c r="X253" s="312"/>
      <c r="Y253" s="313"/>
      <c r="Z253" s="69"/>
      <c r="AA253" s="341"/>
      <c r="AB253" s="82"/>
      <c r="AC253" s="71"/>
      <c r="AD253" s="319"/>
      <c r="AE253" s="226" t="s">
        <v>278</v>
      </c>
      <c r="AF253" s="230" t="s">
        <v>77</v>
      </c>
      <c r="AG253" s="322"/>
    </row>
    <row r="254" spans="2:33" s="287" customFormat="1" ht="13" x14ac:dyDescent="0.3">
      <c r="B254" s="326" t="str">
        <f>IF(C254="","Skip",IF(AND(Validator!G248=TRUE,Validator!G498=TRUE,Validator!G748=TRUE,Validator!G998=TRUE,Validator!G1248=TRUE,Validator!G1498=TRUE),"Valid","Invalid"))</f>
        <v>Skip</v>
      </c>
      <c r="C254" s="69"/>
      <c r="D254" s="389"/>
      <c r="E254" s="390"/>
      <c r="F254" s="519"/>
      <c r="G254" s="393"/>
      <c r="H254" s="519"/>
      <c r="I254" s="321"/>
      <c r="J254" s="395"/>
      <c r="K254" s="396"/>
      <c r="L254" s="397"/>
      <c r="M254" s="310"/>
      <c r="N254" s="400"/>
      <c r="O254" s="398" t="s">
        <v>278</v>
      </c>
      <c r="P254" s="399" t="s">
        <v>77</v>
      </c>
      <c r="Q254" s="317"/>
      <c r="R254" s="308"/>
      <c r="S254" s="308"/>
      <c r="T254" s="317"/>
      <c r="U254" s="324" t="str">
        <f>IF(ISERROR(VLOOKUP($T254, 'Reference data'!$J$2:$K$139, 2, FALSE)),"-",VLOOKUP($T254, 'Reference data'!$J$2:$K$139, 2, FALSE))</f>
        <v>-</v>
      </c>
      <c r="V254" s="308"/>
      <c r="W254" s="308"/>
      <c r="X254" s="312"/>
      <c r="Y254" s="313"/>
      <c r="Z254" s="69"/>
      <c r="AA254" s="341"/>
      <c r="AB254" s="82"/>
      <c r="AC254" s="71"/>
      <c r="AD254" s="319"/>
      <c r="AE254" s="226" t="s">
        <v>278</v>
      </c>
      <c r="AF254" s="230" t="s">
        <v>77</v>
      </c>
      <c r="AG254" s="322"/>
    </row>
    <row r="255" spans="2:33" s="287" customFormat="1" ht="13" x14ac:dyDescent="0.3">
      <c r="B255" s="326" t="str">
        <f>IF(C255="","Skip",IF(AND(Validator!G249=TRUE,Validator!G499=TRUE,Validator!G749=TRUE,Validator!G999=TRUE,Validator!G1249=TRUE,Validator!G1499=TRUE),"Valid","Invalid"))</f>
        <v>Skip</v>
      </c>
      <c r="C255" s="69"/>
      <c r="D255" s="389"/>
      <c r="E255" s="390"/>
      <c r="F255" s="519"/>
      <c r="G255" s="393"/>
      <c r="H255" s="519"/>
      <c r="I255" s="321"/>
      <c r="J255" s="395"/>
      <c r="K255" s="396"/>
      <c r="L255" s="397"/>
      <c r="M255" s="310"/>
      <c r="N255" s="400"/>
      <c r="O255" s="398" t="s">
        <v>278</v>
      </c>
      <c r="P255" s="399" t="s">
        <v>77</v>
      </c>
      <c r="Q255" s="317"/>
      <c r="R255" s="308"/>
      <c r="S255" s="308"/>
      <c r="T255" s="317"/>
      <c r="U255" s="324" t="str">
        <f>IF(ISERROR(VLOOKUP($T255, 'Reference data'!$J$2:$K$139, 2, FALSE)),"-",VLOOKUP($T255, 'Reference data'!$J$2:$K$139, 2, FALSE))</f>
        <v>-</v>
      </c>
      <c r="V255" s="308"/>
      <c r="W255" s="308"/>
      <c r="X255" s="312"/>
      <c r="Y255" s="313"/>
      <c r="Z255" s="69"/>
      <c r="AA255" s="341"/>
      <c r="AB255" s="82"/>
      <c r="AC255" s="71"/>
      <c r="AD255" s="319"/>
      <c r="AE255" s="226" t="s">
        <v>278</v>
      </c>
      <c r="AF255" s="230" t="s">
        <v>77</v>
      </c>
      <c r="AG255" s="322"/>
    </row>
    <row r="256" spans="2:33" s="287" customFormat="1" ht="13" x14ac:dyDescent="0.3">
      <c r="B256" s="326" t="str">
        <f>IF(C256="","Skip",IF(AND(Validator!G250=TRUE,Validator!G500=TRUE,Validator!G750=TRUE,Validator!G1000=TRUE,Validator!G1250=TRUE,Validator!G1500=TRUE),"Valid","Invalid"))</f>
        <v>Skip</v>
      </c>
      <c r="C256" s="69"/>
      <c r="D256" s="389"/>
      <c r="E256" s="390"/>
      <c r="F256" s="519"/>
      <c r="G256" s="393"/>
      <c r="H256" s="519"/>
      <c r="I256" s="321"/>
      <c r="J256" s="395"/>
      <c r="K256" s="396"/>
      <c r="L256" s="397"/>
      <c r="M256" s="310"/>
      <c r="N256" s="400"/>
      <c r="O256" s="398" t="s">
        <v>278</v>
      </c>
      <c r="P256" s="399" t="s">
        <v>77</v>
      </c>
      <c r="Q256" s="317"/>
      <c r="R256" s="308"/>
      <c r="S256" s="308"/>
      <c r="T256" s="317"/>
      <c r="U256" s="324" t="str">
        <f>IF(ISERROR(VLOOKUP($T256, 'Reference data'!$J$2:$K$139, 2, FALSE)),"-",VLOOKUP($T256, 'Reference data'!$J$2:$K$139, 2, FALSE))</f>
        <v>-</v>
      </c>
      <c r="V256" s="308"/>
      <c r="W256" s="308"/>
      <c r="X256" s="312"/>
      <c r="Y256" s="313"/>
      <c r="Z256" s="69"/>
      <c r="AA256" s="341"/>
      <c r="AB256" s="82"/>
      <c r="AC256" s="71"/>
      <c r="AD256" s="319"/>
      <c r="AE256" s="226" t="s">
        <v>278</v>
      </c>
      <c r="AF256" s="230" t="s">
        <v>77</v>
      </c>
      <c r="AG256" s="322"/>
    </row>
    <row r="257" spans="2:33" s="287" customFormat="1" ht="13" x14ac:dyDescent="0.3">
      <c r="B257" s="326" t="str">
        <f>IF(C257="","Skip",IF(AND(Validator!G251=TRUE,Validator!G501=TRUE,Validator!G751=TRUE,Validator!G1001=TRUE,Validator!G1251=TRUE,Validator!G1501=TRUE),"Valid","Invalid"))</f>
        <v>Skip</v>
      </c>
      <c r="C257" s="69"/>
      <c r="D257" s="389"/>
      <c r="E257" s="390"/>
      <c r="F257" s="519"/>
      <c r="G257" s="393"/>
      <c r="H257" s="519"/>
      <c r="I257" s="321"/>
      <c r="J257" s="395"/>
      <c r="K257" s="396"/>
      <c r="L257" s="397"/>
      <c r="M257" s="310"/>
      <c r="N257" s="400"/>
      <c r="O257" s="398" t="s">
        <v>278</v>
      </c>
      <c r="P257" s="399" t="s">
        <v>77</v>
      </c>
      <c r="Q257" s="317"/>
      <c r="R257" s="308"/>
      <c r="S257" s="308"/>
      <c r="T257" s="317"/>
      <c r="U257" s="324" t="str">
        <f>IF(ISERROR(VLOOKUP($T257, 'Reference data'!$J$2:$K$139, 2, FALSE)),"-",VLOOKUP($T257, 'Reference data'!$J$2:$K$139, 2, FALSE))</f>
        <v>-</v>
      </c>
      <c r="V257" s="308"/>
      <c r="W257" s="308"/>
      <c r="X257" s="312"/>
      <c r="Y257" s="313"/>
      <c r="Z257" s="69"/>
      <c r="AA257" s="341"/>
      <c r="AB257" s="82"/>
      <c r="AC257" s="71"/>
      <c r="AD257" s="319"/>
      <c r="AE257" s="226" t="s">
        <v>278</v>
      </c>
      <c r="AF257" s="230" t="s">
        <v>77</v>
      </c>
      <c r="AG257" s="322"/>
    </row>
    <row r="258" spans="2:33" s="287" customFormat="1" ht="13" x14ac:dyDescent="0.3">
      <c r="B258" s="326" t="str">
        <f>IF(C258="","Skip",IF(AND(Validator!G252=TRUE,Validator!G502=TRUE,Validator!G752=TRUE,Validator!G1002=TRUE,Validator!G1252=TRUE,Validator!G1502=TRUE),"Valid","Invalid"))</f>
        <v>Skip</v>
      </c>
      <c r="C258" s="69"/>
      <c r="D258" s="389"/>
      <c r="E258" s="390"/>
      <c r="F258" s="519"/>
      <c r="G258" s="393"/>
      <c r="H258" s="519"/>
      <c r="I258" s="321"/>
      <c r="J258" s="395"/>
      <c r="K258" s="396"/>
      <c r="L258" s="397"/>
      <c r="M258" s="310"/>
      <c r="N258" s="400"/>
      <c r="O258" s="398" t="s">
        <v>278</v>
      </c>
      <c r="P258" s="399" t="s">
        <v>77</v>
      </c>
      <c r="Q258" s="317"/>
      <c r="R258" s="308"/>
      <c r="S258" s="308"/>
      <c r="T258" s="317"/>
      <c r="U258" s="324" t="str">
        <f>IF(ISERROR(VLOOKUP($T258, 'Reference data'!$J$2:$K$139, 2, FALSE)),"-",VLOOKUP($T258, 'Reference data'!$J$2:$K$139, 2, FALSE))</f>
        <v>-</v>
      </c>
      <c r="V258" s="308"/>
      <c r="W258" s="308"/>
      <c r="X258" s="312"/>
      <c r="Y258" s="313"/>
      <c r="Z258" s="69"/>
      <c r="AA258" s="341"/>
      <c r="AB258" s="82"/>
      <c r="AC258" s="71"/>
      <c r="AD258" s="319"/>
      <c r="AE258" s="226" t="s">
        <v>278</v>
      </c>
      <c r="AF258" s="230" t="s">
        <v>77</v>
      </c>
      <c r="AG258" s="322"/>
    </row>
    <row r="259" spans="2:33" s="287" customFormat="1" ht="13" x14ac:dyDescent="0.3">
      <c r="B259" s="326" t="str">
        <f>IF(C259="","Skip",IF(AND(Validator!G253=TRUE,Validator!G503=TRUE,Validator!G753=TRUE,Validator!G1003=TRUE,Validator!G1253=TRUE,Validator!G1503=TRUE),"Valid","Invalid"))</f>
        <v>Skip</v>
      </c>
      <c r="C259" s="69"/>
      <c r="D259" s="389"/>
      <c r="E259" s="390"/>
      <c r="F259" s="519"/>
      <c r="G259" s="393"/>
      <c r="H259" s="519"/>
      <c r="I259" s="321"/>
      <c r="J259" s="395"/>
      <c r="K259" s="396"/>
      <c r="L259" s="397"/>
      <c r="M259" s="310"/>
      <c r="N259" s="400"/>
      <c r="O259" s="398" t="s">
        <v>278</v>
      </c>
      <c r="P259" s="399" t="s">
        <v>77</v>
      </c>
      <c r="Q259" s="317"/>
      <c r="R259" s="308"/>
      <c r="S259" s="308"/>
      <c r="T259" s="317"/>
      <c r="U259" s="324" t="str">
        <f>IF(ISERROR(VLOOKUP($T259, 'Reference data'!$J$2:$K$139, 2, FALSE)),"-",VLOOKUP($T259, 'Reference data'!$J$2:$K$139, 2, FALSE))</f>
        <v>-</v>
      </c>
      <c r="V259" s="308"/>
      <c r="W259" s="308"/>
      <c r="X259" s="312"/>
      <c r="Y259" s="313"/>
      <c r="Z259" s="69"/>
      <c r="AA259" s="341"/>
      <c r="AB259" s="82"/>
      <c r="AC259" s="71"/>
      <c r="AD259" s="319"/>
      <c r="AE259" s="226" t="s">
        <v>278</v>
      </c>
      <c r="AF259" s="230" t="s">
        <v>77</v>
      </c>
      <c r="AG259" s="322"/>
    </row>
    <row r="260" spans="2:33" s="287" customFormat="1" ht="13" x14ac:dyDescent="0.3">
      <c r="B260" s="326" t="str">
        <f>IF(C260="","Skip",IF(AND(Validator!G254=TRUE,Validator!G504=TRUE,Validator!G754=TRUE,Validator!G1004=TRUE,Validator!G1254=TRUE,Validator!G1504=TRUE),"Valid","Invalid"))</f>
        <v>Skip</v>
      </c>
      <c r="C260" s="69"/>
      <c r="D260" s="389"/>
      <c r="E260" s="390"/>
      <c r="F260" s="519"/>
      <c r="G260" s="393"/>
      <c r="H260" s="519"/>
      <c r="I260" s="321"/>
      <c r="J260" s="395"/>
      <c r="K260" s="396"/>
      <c r="L260" s="397"/>
      <c r="M260" s="310"/>
      <c r="N260" s="400"/>
      <c r="O260" s="398" t="s">
        <v>278</v>
      </c>
      <c r="P260" s="399" t="s">
        <v>77</v>
      </c>
      <c r="Q260" s="317"/>
      <c r="R260" s="308"/>
      <c r="S260" s="308"/>
      <c r="T260" s="317"/>
      <c r="U260" s="324" t="str">
        <f>IF(ISERROR(VLOOKUP($T260, 'Reference data'!$J$2:$K$139, 2, FALSE)),"-",VLOOKUP($T260, 'Reference data'!$J$2:$K$139, 2, FALSE))</f>
        <v>-</v>
      </c>
      <c r="V260" s="308"/>
      <c r="W260" s="308"/>
      <c r="X260" s="312"/>
      <c r="Y260" s="313"/>
      <c r="Z260" s="69"/>
      <c r="AA260" s="341"/>
      <c r="AB260" s="82"/>
      <c r="AC260" s="71"/>
      <c r="AD260" s="319"/>
      <c r="AE260" s="226" t="s">
        <v>278</v>
      </c>
      <c r="AF260" s="230" t="s">
        <v>77</v>
      </c>
      <c r="AG260" s="322"/>
    </row>
    <row r="261" spans="2:33" s="287" customFormat="1" ht="13" x14ac:dyDescent="0.3">
      <c r="B261" s="326" t="str">
        <f>IF(C261="","Skip",IF(AND(Validator!G255=TRUE,Validator!G505=TRUE,Validator!G755=TRUE,Validator!G1005=TRUE,Validator!G1255=TRUE,Validator!G1505=TRUE),"Valid","Invalid"))</f>
        <v>Skip</v>
      </c>
      <c r="C261" s="69"/>
      <c r="D261" s="389"/>
      <c r="E261" s="390"/>
      <c r="F261" s="519"/>
      <c r="G261" s="393"/>
      <c r="H261" s="519"/>
      <c r="I261" s="321"/>
      <c r="J261" s="395"/>
      <c r="K261" s="396"/>
      <c r="L261" s="397"/>
      <c r="M261" s="310"/>
      <c r="N261" s="400"/>
      <c r="O261" s="398" t="s">
        <v>278</v>
      </c>
      <c r="P261" s="399" t="s">
        <v>77</v>
      </c>
      <c r="Q261" s="317"/>
      <c r="R261" s="308"/>
      <c r="S261" s="308"/>
      <c r="T261" s="317"/>
      <c r="U261" s="324" t="str">
        <f>IF(ISERROR(VLOOKUP($T261, 'Reference data'!$J$2:$K$139, 2, FALSE)),"-",VLOOKUP($T261, 'Reference data'!$J$2:$K$139, 2, FALSE))</f>
        <v>-</v>
      </c>
      <c r="V261" s="308"/>
      <c r="W261" s="308"/>
      <c r="X261" s="312"/>
      <c r="Y261" s="313"/>
      <c r="Z261" s="69"/>
      <c r="AA261" s="341"/>
      <c r="AB261" s="82"/>
      <c r="AC261" s="71"/>
      <c r="AD261" s="319"/>
      <c r="AE261" s="226" t="s">
        <v>278</v>
      </c>
      <c r="AF261" s="230" t="s">
        <v>77</v>
      </c>
      <c r="AG261" s="322"/>
    </row>
    <row r="262" spans="2:33" s="287" customFormat="1" ht="13" x14ac:dyDescent="0.3">
      <c r="B262" s="326" t="str">
        <f>IF(C262="","Skip",IF(AND(Validator!G256=TRUE,Validator!G506=TRUE,Validator!G756=TRUE,Validator!G1006=TRUE,Validator!G1256=TRUE,Validator!G1506=TRUE),"Valid","Invalid"))</f>
        <v>Skip</v>
      </c>
      <c r="C262" s="69"/>
      <c r="D262" s="389"/>
      <c r="E262" s="390"/>
      <c r="F262" s="519"/>
      <c r="G262" s="393"/>
      <c r="H262" s="519"/>
      <c r="I262" s="321"/>
      <c r="J262" s="395"/>
      <c r="K262" s="396"/>
      <c r="L262" s="397"/>
      <c r="M262" s="310"/>
      <c r="N262" s="400"/>
      <c r="O262" s="398" t="s">
        <v>278</v>
      </c>
      <c r="P262" s="399" t="s">
        <v>77</v>
      </c>
      <c r="Q262" s="317"/>
      <c r="R262" s="308"/>
      <c r="S262" s="308"/>
      <c r="T262" s="317"/>
      <c r="U262" s="324" t="str">
        <f>IF(ISERROR(VLOOKUP($T262, 'Reference data'!$J$2:$K$139, 2, FALSE)),"-",VLOOKUP($T262, 'Reference data'!$J$2:$K$139, 2, FALSE))</f>
        <v>-</v>
      </c>
      <c r="V262" s="308"/>
      <c r="W262" s="308"/>
      <c r="X262" s="312"/>
      <c r="Y262" s="313"/>
      <c r="Z262" s="69"/>
      <c r="AA262" s="341"/>
      <c r="AB262" s="82"/>
      <c r="AC262" s="71"/>
      <c r="AD262" s="319"/>
      <c r="AE262" s="226" t="s">
        <v>278</v>
      </c>
      <c r="AF262" s="230" t="s">
        <v>77</v>
      </c>
      <c r="AG262" s="322"/>
    </row>
    <row r="263" spans="2:33" s="287" customFormat="1" ht="13.5" thickBot="1" x14ac:dyDescent="0.35">
      <c r="B263" s="327" t="str">
        <f>IF(C263="","Skip",IF(AND(Validator!G257=TRUE,Validator!G507=TRUE,Validator!G757=TRUE,Validator!G1007=TRUE,Validator!G1257=TRUE,Validator!G1507=TRUE),"Valid","Invalid"))</f>
        <v>Skip</v>
      </c>
      <c r="C263" s="72"/>
      <c r="D263" s="391"/>
      <c r="E263" s="392"/>
      <c r="F263" s="527"/>
      <c r="G263" s="394"/>
      <c r="H263" s="528"/>
      <c r="I263" s="323"/>
      <c r="J263" s="401"/>
      <c r="K263" s="402"/>
      <c r="L263" s="403"/>
      <c r="M263" s="311"/>
      <c r="N263" s="404"/>
      <c r="O263" s="405" t="s">
        <v>278</v>
      </c>
      <c r="P263" s="406" t="s">
        <v>77</v>
      </c>
      <c r="Q263" s="318"/>
      <c r="R263" s="309"/>
      <c r="S263" s="309"/>
      <c r="T263" s="318"/>
      <c r="U263" s="325" t="str">
        <f>IF(ISERROR(VLOOKUP($T263, 'Reference data'!$J$2:$K$139, 2, FALSE)),"-",VLOOKUP($T263, 'Reference data'!$J$2:$K$139, 2, FALSE))</f>
        <v>-</v>
      </c>
      <c r="V263" s="309"/>
      <c r="W263" s="309"/>
      <c r="X263" s="314"/>
      <c r="Y263" s="315"/>
      <c r="Z263" s="72"/>
      <c r="AA263" s="342"/>
      <c r="AB263" s="83"/>
      <c r="AC263" s="73"/>
      <c r="AD263" s="73"/>
      <c r="AE263" s="227" t="s">
        <v>278</v>
      </c>
      <c r="AF263" s="231" t="s">
        <v>77</v>
      </c>
      <c r="AG263" s="322"/>
    </row>
    <row r="264" spans="2:33" ht="1.5" customHeight="1" thickTop="1" x14ac:dyDescent="0.25"/>
    <row r="265" spans="2:33" ht="13.5" hidden="1" customHeight="1" x14ac:dyDescent="0.25">
      <c r="B265" s="84" t="s">
        <v>1913</v>
      </c>
      <c r="C265" s="164" t="s">
        <v>2045</v>
      </c>
    </row>
  </sheetData>
  <sheetProtection password="A656" sheet="1" formatCells="0" formatColumns="0" formatRows="0" selectLockedCells="1"/>
  <dataConsolidate/>
  <mergeCells count="30">
    <mergeCell ref="C12:H12"/>
    <mergeCell ref="I12:Y12"/>
    <mergeCell ref="G10:H10"/>
    <mergeCell ref="E7:F7"/>
    <mergeCell ref="E8:F8"/>
    <mergeCell ref="E9:F9"/>
    <mergeCell ref="E10:F10"/>
    <mergeCell ref="B10:D11"/>
    <mergeCell ref="G9:H9"/>
    <mergeCell ref="J9:K9"/>
    <mergeCell ref="L8:M8"/>
    <mergeCell ref="AH13:AM17"/>
    <mergeCell ref="Z12:AF12"/>
    <mergeCell ref="AC9:AE9"/>
    <mergeCell ref="AC5:AJ5"/>
    <mergeCell ref="AC8:AJ8"/>
    <mergeCell ref="AC6:AJ7"/>
    <mergeCell ref="E5:S5"/>
    <mergeCell ref="E6:K6"/>
    <mergeCell ref="B5:D5"/>
    <mergeCell ref="G7:H7"/>
    <mergeCell ref="G8:H8"/>
    <mergeCell ref="J7:K7"/>
    <mergeCell ref="J8:K8"/>
    <mergeCell ref="B6:C6"/>
    <mergeCell ref="B7:C7"/>
    <mergeCell ref="L6:S6"/>
    <mergeCell ref="N7:S7"/>
    <mergeCell ref="N8:S8"/>
    <mergeCell ref="L7:M7"/>
  </mergeCells>
  <conditionalFormatting sqref="G10 U14:U263 F14:F263 H14:H263">
    <cfRule type="containsErrors" dxfId="58" priority="87">
      <formula>ISERROR(F10)</formula>
    </cfRule>
  </conditionalFormatting>
  <conditionalFormatting sqref="K2">
    <cfRule type="expression" dxfId="57" priority="5">
      <formula>IHZ_STATUS="Empty"</formula>
    </cfRule>
    <cfRule type="expression" dxfId="56" priority="20">
      <formula>IHZ_STATUS="VALID"</formula>
    </cfRule>
    <cfRule type="expression" dxfId="55" priority="21">
      <formula>IHZ_STATUS="Invalid"</formula>
    </cfRule>
  </conditionalFormatting>
  <conditionalFormatting sqref="T14:T263 X14:Y263">
    <cfRule type="expression" dxfId="54" priority="557">
      <formula>$J14="IMDG"</formula>
    </cfRule>
  </conditionalFormatting>
  <conditionalFormatting sqref="S14:S263">
    <cfRule type="expression" dxfId="53" priority="561">
      <formula>OR(J14="IMDG",J14="IBC")</formula>
    </cfRule>
  </conditionalFormatting>
  <conditionalFormatting sqref="R14:R263">
    <cfRule type="expression" dxfId="52" priority="562">
      <formula>OR(J14="IMDG",J14="IBC",J14="MARPOL_ANNEX_1")</formula>
    </cfRule>
  </conditionalFormatting>
  <conditionalFormatting sqref="AA14:AA263">
    <cfRule type="expression" dxfId="51" priority="563">
      <formula>$Z14="TEU"</formula>
    </cfRule>
  </conditionalFormatting>
  <conditionalFormatting sqref="B14:B263">
    <cfRule type="expression" dxfId="50" priority="15">
      <formula>B14="Invalid"</formula>
    </cfRule>
    <cfRule type="expression" dxfId="49" priority="1">
      <formula>$B14="Valid"</formula>
    </cfRule>
  </conditionalFormatting>
  <conditionalFormatting sqref="M14:M263">
    <cfRule type="expression" dxfId="48" priority="13">
      <formula>OR(J14="IMDG",J14="IBC",J14="IMSBC",J14="BC")</formula>
    </cfRule>
  </conditionalFormatting>
  <conditionalFormatting sqref="Q14:Q263">
    <cfRule type="expression" dxfId="47" priority="12">
      <formula>J14="IMDG"</formula>
    </cfRule>
  </conditionalFormatting>
  <conditionalFormatting sqref="I7">
    <cfRule type="expression" dxfId="46" priority="8">
      <formula xml:space="preserve"> OR( IHZ_CON_FIRSTNAME&lt;&gt;"", IHZ_CON_LASTNAME&lt;&gt;"", IHZ_CON_LOCODE&lt;&gt;"", IHZ_CON_PHONE&lt;&gt;"", IHZ_CON_FAX&lt;&gt;"", IHZ_CON_EMAIL&lt;&gt;"", )</formula>
    </cfRule>
  </conditionalFormatting>
  <conditionalFormatting sqref="L7:M8">
    <cfRule type="expression" dxfId="45" priority="7">
      <formula>OR( IHZ_DET_URL&lt;&gt;"", IHZ_DET_DOCTYPE&lt;&gt;"", )</formula>
    </cfRule>
  </conditionalFormatting>
  <conditionalFormatting sqref="C13 I13:K13 N13:P13">
    <cfRule type="expression" dxfId="44" priority="6">
      <formula>IHZ_DET_HAZONBOARD="Yes"</formula>
    </cfRule>
  </conditionalFormatting>
  <conditionalFormatting sqref="D14:E263 G14:G263">
    <cfRule type="expression" dxfId="43" priority="4">
      <formula>AND($C13&lt;&gt;$C14)</formula>
    </cfRule>
  </conditionalFormatting>
  <conditionalFormatting sqref="J14:L263 N14:P263 J14:L263 J14:L263 N14:P263">
    <cfRule type="expression" dxfId="42" priority="3">
      <formula>OR($C13&lt;&gt;$C14,$I13&lt;&gt;$I14)</formula>
    </cfRule>
  </conditionalFormatting>
  <conditionalFormatting sqref="AC6">
    <cfRule type="containsErrors" dxfId="41" priority="2">
      <formula>ISERROR(AC6)</formula>
    </cfRule>
  </conditionalFormatting>
  <dataValidations xWindow="379" yWindow="737" count="40">
    <dataValidation allowBlank="1" error="Port name is not recognised" sqref="G10" xr:uid="{00000000-0002-0000-0400-000000000000}"/>
    <dataValidation type="textLength" allowBlank="1" showInputMessage="1" showErrorMessage="1" error="Max 50 characters" promptTitle="Last name" prompt="The last name of the cargo contact person_x000a__x000a_Max 50 characters" sqref="G8:H8" xr:uid="{00000000-0002-0000-0400-000001000000}">
      <formula1>0</formula1>
      <formula2>50</formula2>
    </dataValidation>
    <dataValidation type="list" allowBlank="1" showInputMessage="1" showErrorMessage="1" errorTitle="Invalid Input" error="Select from dropdown" promptTitle="Total amount unit" prompt="Unit of measurement for amount_x000a__x000a_Choose from dropdown menu" sqref="AF14:AF263" xr:uid="{00000000-0002-0000-0400-000002000000}">
      <formula1>Units_description</formula1>
    </dataValidation>
    <dataValidation type="list" allowBlank="1" showInputMessage="1" showErrorMessage="1" errorTitle="Invalid Input" error="Select from dropdown" promptTitle="Marpol code" prompt="The MARPOL code for the DPG item as defined in MARPOL Annex II_x000a__x000a_Choose from dropdown menu" sqref="S14:S263" xr:uid="{00000000-0002-0000-0400-000003000000}">
      <formula1>MARPOL_codes</formula1>
    </dataValidation>
    <dataValidation type="list" allowBlank="1" showInputMessage="1" showErrorMessage="1" errorTitle="Invalid input" error="Select from dropdown" promptTitle="Package type" prompt="Description of the outer package of the cargo item_x000a__x000a_Choose from dropdown menu" sqref="T14:T263" xr:uid="{00000000-0002-0000-0400-000004000000}">
      <formula1>Package_type_name</formula1>
    </dataValidation>
    <dataValidation type="textLength" allowBlank="1" showInputMessage="1" showErrorMessage="1" error="Maximum 7 characters." promptTitle="IMO Hazard class" prompt="IMO Hazard class (IMDG-IBC-IGC-IMSBC codes) of DPG item_x000a__x000a_Max 7 characters" sqref="L14:L263" xr:uid="{00000000-0002-0000-0400-000005000000}">
      <formula1>1</formula1>
      <formula2>7</formula2>
    </dataValidation>
    <dataValidation allowBlank="1" showInputMessage="1" showErrorMessage="1" promptTitle="Package code" prompt="Choose package type to display the correct package code" sqref="U14:U263" xr:uid="{00000000-0002-0000-0400-000006000000}"/>
    <dataValidation type="custom" allowBlank="1" showInputMessage="1" showErrorMessage="1" errorTitle="Invalid Input" error="Must be a number between -9999999999 and 9999999999 with a maximum of 3 decimal places" promptTitle="Flash point" prompt="The temperature in degrees Celsius at which a liquid will give_x000a_off enough flammable vapour to be ignited_x000a__x000a_Must be a number between -9999999999 and 9999999999 with a maximum of 3 decimal places" sqref="R14:R263" xr:uid="{00000000-0002-0000-0400-000007000000}">
      <formula1>IF(OR(ISBLANK(R14),AND(ISNUMBER(R14),LEN(R14)-(IF(ISNUMBER(SEARCH(".",R14)),SEARCH(".",R14),LEN(R14)))&lt;=3,R14&lt;=9999999999,R14&gt;=-9999999999)),TRUE(),FALSE())</formula1>
    </dataValidation>
    <dataValidation type="textLength" operator="lessThanOrEqual" allowBlank="1" showInputMessage="1" showErrorMessage="1" errorTitle="Invalid Input" error="Must be less than 350 characters" promptTitle="Textual Reference" prompt="This is the proper shipping name, completed with the_x000a_technical name where appropriate_x000a__x000a_Maximum 350 characters" sqref="K14:K263" xr:uid="{00000000-0002-0000-0400-000008000000}">
      <formula1>350</formula1>
    </dataValidation>
    <dataValidation type="custom" allowBlank="1" showInputMessage="1" showErrorMessage="1" errorTitle="Invalid Input" error="Up to 2 EMS numbers separated by comma. Each number cannot be longer than 50 characters." promptTitle="EMS number(s)" prompt="Up to 2 EMS numbers separated by comma_x000a__x000a_Each number cannot be longer than 50 characters" sqref="X14:X263" xr:uid="{00000000-0002-0000-0400-000009000000}">
      <formula1>OR(ISBLANK(X14),AND(LEN(X14)&lt;=101,LEN(X14)-LEN(SUBSTITUTE(X14,",",""))&lt;2,LEN(LEFT(X14,IF(ISNUMBER(SEARCH(",",X14)),SEARCH(",",X14)-1,LEN(X14))))&lt;=50,(LEN(X14)-1)-LEN(LEFT(X14,IF(ISNUMBER(SEARCH(",",X14)),SEARCH(",",X14)-1,LEN(X14))))&lt;=50))</formula1>
    </dataValidation>
    <dataValidation type="whole" allowBlank="1" showInputMessage="1" showErrorMessage="1" errorTitle="Invalid input" error="Must be a positive whole number between 0 and 999999999" promptTitle="Total packages" prompt="The total number of packages on all cargo units_x000a_covered by this cargo item_x000a__x000a_Must be a positive whole number between 0 and 999999999" sqref="V14:V263" xr:uid="{00000000-0002-0000-0400-00000A000000}">
      <formula1>0</formula1>
      <formula2>999999999</formula2>
    </dataValidation>
    <dataValidation type="textLength" allowBlank="1" showInputMessage="1" showErrorMessage="1" errorTitle="Invalid Input" error="Maximum 255 characters." promptTitle="Additional info" prompt="Any additional information regarding dangerous and_x000a_polluting goods on board_x000a__x000a_Maximum 255 characters" sqref="W14:W263" xr:uid="{00000000-0002-0000-0400-00000B000000}">
      <formula1>1</formula1>
      <formula2>255</formula2>
    </dataValidation>
    <dataValidation type="list" allowBlank="1" showInputMessage="1" showErrorMessage="1" errorTitle="Invalid Input" error="Select from dropdown" promptTitle="Net/Gross" prompt="Whether the reported amount is net or gross_x000a__x000a_Choose from dropdown menu" sqref="AE14:AE263 O14:O263" xr:uid="{00000000-0002-0000-0400-00000C000000}">
      <formula1>"Net, Gross"</formula1>
    </dataValidation>
    <dataValidation type="whole" allowBlank="1" showInputMessage="1" showErrorMessage="1" errorTitle="Invalid Input" error="Must be whole number less than 1,000,000,000" promptTitle="Package count" prompt="This is the number of packages covered by this cargo item in_x000a_a specific location on board or in a cargo unit_x000a__x000a_Must be whole number less than 1000,000,000" sqref="AC14:AC263" xr:uid="{00000000-0002-0000-0400-00000D000000}">
      <formula1>0</formula1>
      <formula2>999999999</formula2>
    </dataValidation>
    <dataValidation type="textLength" allowBlank="1" showInputMessage="1" showErrorMessage="1" errorTitle="Invalid Input" error="Max 17 characters." promptTitle="TEU Id" prompt="Identification number of cargo transport unit (if no tanks). For containers, this shall be the identification code as defined in ISO 6346 (limited to goods under IMDG code)_x000a__x000a_Mandatory for TEUs_x000a__x000a_Max 17 characters" sqref="AA14:AA263" xr:uid="{00000000-0002-0000-0400-00000E000000}">
      <formula1>1</formula1>
      <formula2>17</formula2>
    </dataValidation>
    <dataValidation type="textLength" operator="equal" allowBlank="1" showDropDown="1" showInputMessage="1" showErrorMessage="1" errorTitle="Error" error="Invalid LOCODE, must be 5 characters." promptTitle="Port of discharge LOCODE" prompt="LOCODE of port where Hazmat consignment will be discharged from vessel_x000a__x000a_Use the LOCODE lookup to find the correct code_x000a__x000a_Must be valid LOCODE" sqref="G14:G263" xr:uid="{00000000-0002-0000-0400-00000F000000}">
      <formula1>5</formula1>
    </dataValidation>
    <dataValidation type="whole" allowBlank="1" showInputMessage="1" showErrorMessage="1" errorTitle="Invalid Input" error="Must be a number between 1 and 999" promptTitle="Consignment ID" prompt="Links DPG items and transport units to relevant consignments. If all DPG items are related to the same consignment, use &quot;1&quot; for all rows. If there are more than one consignment, increment this number_x000a__x000a_Must be a number between 1 and 999_x000a__x000a_" sqref="C14:C263" xr:uid="{00000000-0002-0000-0400-000010000000}">
      <formula1>1</formula1>
      <formula2>999</formula2>
    </dataValidation>
    <dataValidation type="textLength" operator="equal" allowBlank="1" showDropDown="1" showInputMessage="1" showErrorMessage="1" errorTitle="Error" error="Invalid LOCODE, must be 5 characters." promptTitle="Port of loading LOCODE" prompt="LOCODE of port where Hazmat consignment was loaded onto vessel_x000a__x000a_Use the LOCODE lookup to find the correct code_x000a__x000a_Must be valid LOCODE" sqref="E14:E263" xr:uid="{00000000-0002-0000-0400-000011000000}">
      <formula1>5</formula1>
    </dataValidation>
    <dataValidation type="textLength" allowBlank="1" showInputMessage="1" showErrorMessage="1" errorTitle="Invalid Input" error="Max 25 characters" promptTitle="Location on board" prompt="Stowage position on board_x000a__x000a_Max 25 characters" sqref="AB14:AB263" xr:uid="{00000000-0002-0000-0400-000012000000}">
      <formula1>0</formula1>
      <formula2>25</formula2>
    </dataValidation>
    <dataValidation type="custom" allowBlank="1" showInputMessage="1" showErrorMessage="1" errorTitle="Invalid" error="Must be a positive number, max 3 decimal places._x000a__x000a_Maximum 9,999,999,999,999" promptTitle="Amount" prompt="Must be a positive number, 9,999,999,999,999 or less, with a maximum of 3 decimal places" sqref="AD14:AD263" xr:uid="{00000000-0002-0000-0400-000013000000}">
      <formula1>IF(OR(ISBLANK(AD14),AND(ISNUMBER(AD14),LEN(AD14)-(IF(ISNUMBER(SEARCH(".",AD14)),SEARCH(".",AD14),LEN(AD14)))&lt;=3,AD14&lt;=9999999999999)),TRUE(),FALSE())</formula1>
    </dataValidation>
    <dataValidation type="whole" allowBlank="1" showInputMessage="1" showErrorMessage="1" errorTitle="Invalid Input" error="Must be a number between 1 and 999" promptTitle="DPG item reference number" prompt="This field links DPG items to relevant transport units_x000a__x000a_An DPG item can consist of 0 or more transport units (TEU and/or non-TEUs)_x000a__x000a_Must be a number between 1 and 999" sqref="I14:I263" xr:uid="{00000000-0002-0000-0400-000014000000}">
      <formula1>1</formula1>
      <formula2>999</formula2>
    </dataValidation>
    <dataValidation type="list" allowBlank="1" showInputMessage="1" showErrorMessage="1" error="Select from dropdown" promptTitle="Total amount unit" prompt="Unit of measurement for Total DPG amount_x000a__x000a_Choose from dropdown menu" sqref="P14:P263" xr:uid="{00000000-0002-0000-0400-000015000000}">
      <formula1>Units_description</formula1>
    </dataValidation>
    <dataValidation type="list" allowBlank="1" showInputMessage="1" showErrorMessage="1" error="Select from dropdown" promptTitle="TEU type" prompt="Select TEU or Non-TEU unit_x000a__x000a_Leave blank for no container_x000a__x000a_Choose from dropdown menu" sqref="Z14:Z263" xr:uid="{00000000-0002-0000-0400-000016000000}">
      <formula1>"TEU,Non-TEU"</formula1>
    </dataValidation>
    <dataValidation type="textLength" operator="equal" allowBlank="1" showInputMessage="1" showErrorMessage="1" errorTitle="Error" error="Must be 4 characters." promptTitle="UN number" prompt="UN number of DPG item_x000a__x000a_Must be 4 characters" sqref="M14:M263" xr:uid="{00000000-0002-0000-0400-000017000000}">
      <formula1>4</formula1>
    </dataValidation>
    <dataValidation type="textLength" allowBlank="1" showInputMessage="1" showErrorMessage="1" error="Max 35 characters." promptTitle="Transport document ID" prompt="ID for the consignment transport document, e.g., Bill of Lading, identity code_x000a__x000a_ Max 35 characters_x000a_" sqref="D14:D263" xr:uid="{00000000-0002-0000-0400-000018000000}">
      <formula1>1</formula1>
      <formula2>35</formula2>
    </dataValidation>
    <dataValidation type="custom" allowBlank="1" showInputMessage="1" showErrorMessage="1" errorTitle="Invalid Input" error="Positive number, max 3 decimal places._x000a__x000a_Maximum 9,999,999,999,999" promptTitle="Total amount" prompt="Total quantity of the DPG item on board_x000a__x000a_Must be a positive number, 9,999,999,999,999 or less, with a maximum of 3 decimal places" sqref="N14:N263" xr:uid="{00000000-0002-0000-0400-000019000000}">
      <formula1>OR(ISBLANK(N1048341),AND(ISNUMBER(N1048341),LEN(N1048341)-(IF(ISNUMBER(SEARCH(".",N1048341)),SEARCH(".",N1048341),LEN(N1048341)))&lt;=3,N1048341&lt;=9999999999999,N1048341&gt;=0))</formula1>
    </dataValidation>
    <dataValidation type="custom" allowBlank="1" showInputMessage="1" showErrorMessage="1" errorTitle="Invalid Input" error="Up to five risks of max 17 characters in length, separated by commas." promptTitle="Subsidiary risk(s)" prompt="Subsidiary risk(s) of the DPG items_x000a__x000a_Up to five risks of max 17 characters in length. Each risk must be separated by a comma" sqref="Y14:Y263" xr:uid="{00000000-0002-0000-0400-00001A000000}">
      <formula1>OR(ISBLANK(Y14),AND(LEN(Y14)&lt;=89,LEN(Y14)-LEN(SUBSTITUTE(Y14,",",""))&lt;5))</formula1>
    </dataValidation>
    <dataValidation type="custom" showInputMessage="1" showErrorMessage="1" error="Must contain an &quot;@&quot;, can not contain spaces and must be less than 50 characters." promptTitle="Email" prompt="The email of the cargo contact person_x000a__x000a_Must contain an &quot;@&quot;, can not contain spaces and must be less than 50 characters" sqref="J9" xr:uid="{00000000-0002-0000-0400-00001B000000}">
      <formula1>IF(OR(ISBLANK(INDEX(IHZ_CON_EMAIL,1,1)),AND(NOT(ISERROR(SEARCH("@",INDEX(IHZ_CON_EMAIL,1,1)))),ISERROR(SEARCH(" ",INDEX(IHZ_CON_EMAIL,1,1))),LEN(INDEX(IHZ_CON_EMAIL,1,1))&lt;=50)),TRUE(),FALSE())</formula1>
    </dataValidation>
    <dataValidation type="list" allowBlank="1" showInputMessage="1" showErrorMessage="1" error="Select from dropdown_x000a_" promptTitle="Cargo manifest document type" prompt="The document type of the cargo manifest_x000a__x000a_Must be provided if Manifest URL is provided _x000a__x000a_Choose from dropdown menu" sqref="N8" xr:uid="{00000000-0002-0000-0400-00001D000000}">
      <formula1>REF_DOCTYPES</formula1>
    </dataValidation>
    <dataValidation type="list" allowBlank="1" showInputMessage="1" showErrorMessage="1" error="Select 'Yes' or 'No' from the dropdown" promptTitle="Hazmat on board" prompt="Whether the vessel has any Hazmat on board_x000a__x000a_Choose 'Yes' or 'No' from dropdown menu" sqref="D6" xr:uid="{00000000-0002-0000-0400-00001E000000}">
      <formula1>REF_YES_NO</formula1>
    </dataValidation>
    <dataValidation type="list" allowBlank="1" showInputMessage="1" showErrorMessage="1" error="Select from dropdown" promptTitle="INF ship class" prompt="Code for the license of the vessel according to the INF Code (Code for the Safe Carriage of Irradiated Nuclear Fuel, Plutonium and High-level Radioactive Wastes in Flasks on board Ships)_x000a__x000a_Choose from dropdown menu" sqref="D7" xr:uid="{00000000-0002-0000-0400-00001F000000}">
      <formula1>INF_ship_classes</formula1>
    </dataValidation>
    <dataValidation type="textLength" allowBlank="1" showInputMessage="1" showErrorMessage="1" error="Max 50 characters" promptTitle="First name" prompt="The first name of the cargo contact person_x000a__x000a_Max 50 characters" sqref="G7:H7" xr:uid="{00000000-0002-0000-0400-000020000000}">
      <formula1>0</formula1>
      <formula2>50</formula2>
    </dataValidation>
    <dataValidation type="custom" operator="equal" allowBlank="1" showDropDown="1" showInputMessage="1" showErrorMessage="1" errorTitle="Error" error="Invalid LOCODE: must be 5 characters of letters and numbers with no spaces" promptTitle="Port LOCODE" prompt="The LOCODE for the port of the cargo contact person_x000a__x000a_Use the LOCODE lookup to find the correct code_x000a__x000a_Must be valid LOCODE" sqref="G9:H9" xr:uid="{00000000-0002-0000-0400-000021000000}">
      <formula1>IFERROR(AND(SUMPRODUCT(SEARCH(MID(G9,ROW(INDIRECT("1:"&amp;LEN(G9))),1),"abcdefghijklmnopqrstuvwxyz0123456789")),LEN(G9)=5),FALSE)</formula1>
    </dataValidation>
    <dataValidation type="list" allowBlank="1" showInputMessage="1" showErrorMessage="1" errorTitle="Invalid Input" error="Select from dropdown" promptTitle="Packing group" prompt="The packing group code as defined in the IMDG_x000a__x000a_Choose from dropdown menu" sqref="Q14:Q263" xr:uid="{00000000-0002-0000-0400-000022000000}">
      <formula1>REF_PACKING_GROUP</formula1>
    </dataValidation>
    <dataValidation allowBlank="1" showInputMessage="1" showErrorMessage="1" promptTitle="Port of loading name" prompt="The name of the port at which the consignment was loaded _x000a__x000a_This field is automatically generated from the 'Port of loading LOCODE' field_x000a_" sqref="F14:F263" xr:uid="{00000000-0002-0000-0400-000023000000}"/>
    <dataValidation allowBlank="1" showInputMessage="1" showErrorMessage="1" promptTitle="Port of discharge name" prompt="The name of the port at which Consignment will be discharged _x000a__x000a_This field is automatically generated from the 'Port of discharge LOCODE' field_x000a_" sqref="H14:H263" xr:uid="{00000000-0002-0000-0400-000024000000}"/>
    <dataValidation type="list" allowBlank="1" showInputMessage="1" showErrorMessage="1" error="Select from dropdown" promptTitle="Dangerous goods classification" prompt="The dangerous goods classification of the DPG item_x000a__x000a_Choose from dropdown menu" sqref="J14:J263" xr:uid="{00000000-0002-0000-0400-000025000000}">
      <formula1>REF_DG_CLASSIFICATION</formula1>
    </dataValidation>
    <dataValidation type="custom" allowBlank="1" showInputMessage="1" showErrorMessage="1" error="Max 16 characters. Only numerals (0-9) and (&quot;+&quot;) are allowed" promptTitle="Fax" prompt="The Fax of the cargo contact person _x000a__x000a_Include country code_x000a__x000a_Max 16 characters. Only numerals (0-9) and (&quot;+&quot;) are allowed" sqref="J8:K8" xr:uid="{00000000-0002-0000-0400-000026000000}">
      <formula1>AND(ISNUMBER(SUMPRODUCT(SEARCH(MID(IHZ_CON_FAX,ROW(INDIRECT("1:"&amp;LEN(IHZ_CON_FAX))),1),"0123456789+"))),LEN(IHZ_CON_FAX)&lt;=16)</formula1>
    </dataValidation>
    <dataValidation type="custom" showInputMessage="1" showErrorMessage="1" error="Must be valid, more than 19 characters, less than 256 characters, start with &quot;https://&quot; and contain a ." promptTitle="Cargo manifest URL" prompt="The URL of the cargo manifest_x000a__x000a_Must be provided if Doc type is provided_x000a__x000a_Must be valid, more than 19 characters, less than 256 characters and start with https://" sqref="N7:S7" xr:uid="{00000000-0002-0000-0400-000027000000}">
      <formula1>AND(LEFT(INDEX(IHZ_DET_URL,1,1),8)="https://",ISNUMBER(SEARCH(".",INDEX(IHZ_DET_URL,1,1))),LEN(INDEX(IHZ_DET_URL,1,1))&lt;256,LEN(INDEX(IHZ_DET_URL,1,1))&gt;19)</formula1>
    </dataValidation>
    <dataValidation type="custom" allowBlank="1" showInputMessage="1" showErrorMessage="1" error="Max 16 characters. Only numerals (0-9) and (&quot;+&quot;) are allowed" promptTitle="Phone" prompt="The Phone number of the cargo contact person_x000a__x000a_Include country code_x000a__x000a_Max 16 characters. Only numerals (0-9) and (&quot;+&quot;) are allowed" sqref="J7:K7" xr:uid="{7A18B6AE-305B-46C5-ACC5-D46ED9D93008}">
      <formula1>AND(ISNUMBER(SUMPRODUCT(SEARCH(MID(INDEX(IHZ_CON_PHONE,1,1),ROW(INDIRECT("1:"&amp;LEN(INDEX(IHZ_CON_PHONE,1,1)))),1),"0123456789+"))),LEN(INDEX(IHZ_CON_PHONE,1,1))&lt;=16)</formula1>
    </dataValidation>
  </dataValidations>
  <pageMargins left="0.23622047244094491" right="0.23622047244094491" top="0.39370078740157483" bottom="0.39370078740157483" header="0.31496062992125984" footer="0.31496062992125984"/>
  <pageSetup paperSize="9" scale="44"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F0"/>
    <pageSetUpPr fitToPage="1"/>
  </sheetPr>
  <dimension ref="A1:AM278"/>
  <sheetViews>
    <sheetView zoomScale="80" zoomScaleNormal="80" workbookViewId="0">
      <pane ySplit="3" topLeftCell="A4" activePane="bottomLeft" state="frozen"/>
      <selection pane="bottomLeft" activeCell="C14" sqref="C14"/>
    </sheetView>
  </sheetViews>
  <sheetFormatPr defaultColWidth="9.1796875" defaultRowHeight="12.5" x14ac:dyDescent="0.25"/>
  <cols>
    <col min="1" max="1" width="2.453125" style="36" customWidth="1"/>
    <col min="2" max="2" width="9.1796875" style="164" customWidth="1"/>
    <col min="3" max="3" width="14.26953125" style="164" customWidth="1"/>
    <col min="4" max="4" width="11.1796875" style="164" customWidth="1"/>
    <col min="5" max="5" width="9.26953125" style="164" customWidth="1"/>
    <col min="6" max="6" width="9.7265625" style="164" customWidth="1"/>
    <col min="7" max="7" width="11.7265625" style="164" customWidth="1"/>
    <col min="8" max="8" width="10.81640625" style="164" customWidth="1"/>
    <col min="9" max="9" width="11" style="164" customWidth="1"/>
    <col min="10" max="10" width="13.7265625" style="164" customWidth="1"/>
    <col min="11" max="11" width="16.453125" style="164" customWidth="1"/>
    <col min="12" max="12" width="8" style="164" customWidth="1"/>
    <col min="13" max="13" width="9" style="164" customWidth="1"/>
    <col min="14" max="14" width="9" style="242" customWidth="1"/>
    <col min="15" max="15" width="7.54296875" style="242" customWidth="1"/>
    <col min="16" max="16" width="5.54296875" style="242" customWidth="1"/>
    <col min="17" max="17" width="8.81640625" style="242" customWidth="1"/>
    <col min="18" max="18" width="6.54296875" style="242" customWidth="1"/>
    <col min="19" max="19" width="7.81640625" style="242" customWidth="1"/>
    <col min="20" max="20" width="16.453125" style="242" customWidth="1"/>
    <col min="21" max="21" width="10.453125" style="242" customWidth="1"/>
    <col min="22" max="22" width="11.26953125" style="242" customWidth="1"/>
    <col min="23" max="23" width="11.453125" style="242" customWidth="1"/>
    <col min="24" max="24" width="9.1796875" style="242" customWidth="1"/>
    <col min="25" max="25" width="11.26953125" style="7" customWidth="1"/>
    <col min="26" max="26" width="9.26953125" style="7" customWidth="1"/>
    <col min="27" max="27" width="8.81640625" style="7" customWidth="1"/>
    <col min="28" max="28" width="10.453125" style="7" customWidth="1"/>
    <col min="29" max="30" width="10.54296875" style="7" customWidth="1"/>
    <col min="31" max="31" width="7.1796875" style="7" customWidth="1"/>
    <col min="32" max="32" width="6.26953125" style="7" customWidth="1"/>
    <col min="33" max="33" width="4" style="7" customWidth="1"/>
    <col min="34" max="16384" width="9.1796875" style="36"/>
  </cols>
  <sheetData>
    <row r="1" spans="1:39" s="34" customFormat="1" ht="4.5" customHeight="1" x14ac:dyDescent="0.25"/>
    <row r="2" spans="1:39" s="77" customFormat="1" ht="20" x14ac:dyDescent="0.25">
      <c r="A2" s="74"/>
      <c r="B2" s="74" t="s">
        <v>1413</v>
      </c>
      <c r="C2" s="74"/>
      <c r="D2" s="74"/>
      <c r="E2" s="74"/>
      <c r="F2" s="74"/>
      <c r="G2" s="74"/>
      <c r="J2" s="256" t="s">
        <v>1498</v>
      </c>
      <c r="K2" s="513" t="str">
        <f>OHZ_STATUS</f>
        <v>Empty</v>
      </c>
      <c r="L2" s="258" t="str">
        <f>IFERROR(OHZ_VALID_RES,"")</f>
        <v>‘Hazmat on board‘ is required</v>
      </c>
      <c r="M2" s="258"/>
      <c r="N2" s="258"/>
      <c r="O2" s="258"/>
      <c r="P2" s="258"/>
      <c r="Q2" s="258"/>
      <c r="R2" s="258"/>
      <c r="S2" s="258"/>
      <c r="T2" s="258"/>
      <c r="U2" s="258"/>
      <c r="V2" s="258"/>
      <c r="W2" s="258"/>
      <c r="X2" s="258"/>
      <c r="Y2" s="258"/>
      <c r="Z2" s="258"/>
      <c r="AA2" s="258"/>
      <c r="AB2" s="258"/>
      <c r="AC2" s="258"/>
      <c r="AD2" s="258"/>
      <c r="AE2" s="258"/>
      <c r="AF2" s="258"/>
      <c r="AG2" s="258"/>
    </row>
    <row r="3" spans="1:39" s="77" customFormat="1" ht="4.5" customHeight="1" x14ac:dyDescent="0.25"/>
    <row r="4" spans="1:39" s="243" customFormat="1" ht="12.75" customHeight="1" thickBot="1" x14ac:dyDescent="0.3"/>
    <row r="5" spans="1:39" ht="21" customHeight="1" thickTop="1" x14ac:dyDescent="0.25">
      <c r="B5" s="575" t="s">
        <v>1888</v>
      </c>
      <c r="C5" s="576"/>
      <c r="D5" s="577"/>
      <c r="E5" s="567" t="s">
        <v>1601</v>
      </c>
      <c r="F5" s="568"/>
      <c r="G5" s="568"/>
      <c r="H5" s="568"/>
      <c r="I5" s="568"/>
      <c r="J5" s="568"/>
      <c r="K5" s="568"/>
      <c r="L5" s="568"/>
      <c r="M5" s="568"/>
      <c r="N5" s="568"/>
      <c r="O5" s="568"/>
      <c r="P5" s="568"/>
      <c r="Q5" s="568"/>
      <c r="R5" s="568"/>
      <c r="S5" s="572"/>
      <c r="U5" s="514"/>
      <c r="V5" s="514"/>
      <c r="W5" s="514"/>
      <c r="X5" s="514"/>
      <c r="Y5" s="514"/>
      <c r="Z5" s="514"/>
      <c r="AA5" s="514"/>
      <c r="AC5" s="583" t="s">
        <v>2030</v>
      </c>
      <c r="AD5" s="584"/>
      <c r="AE5" s="584"/>
      <c r="AF5" s="584"/>
      <c r="AG5" s="584"/>
      <c r="AH5" s="584"/>
      <c r="AI5" s="584"/>
      <c r="AJ5" s="585"/>
    </row>
    <row r="6" spans="1:39" ht="12.75" customHeight="1" x14ac:dyDescent="0.3">
      <c r="B6" s="306" t="s">
        <v>1889</v>
      </c>
      <c r="C6" s="307"/>
      <c r="D6" s="163"/>
      <c r="E6" s="811" t="s">
        <v>1500</v>
      </c>
      <c r="F6" s="809"/>
      <c r="G6" s="809"/>
      <c r="H6" s="809"/>
      <c r="I6" s="809"/>
      <c r="J6" s="809"/>
      <c r="K6" s="812"/>
      <c r="L6" s="808" t="s">
        <v>1501</v>
      </c>
      <c r="M6" s="809"/>
      <c r="N6" s="809"/>
      <c r="O6" s="809"/>
      <c r="P6" s="809"/>
      <c r="Q6" s="809"/>
      <c r="R6" s="809"/>
      <c r="S6" s="810"/>
      <c r="U6" s="514"/>
      <c r="V6" s="514"/>
      <c r="W6" s="514"/>
      <c r="X6" s="514"/>
      <c r="Y6" s="514"/>
      <c r="Z6" s="514"/>
      <c r="AA6" s="514"/>
      <c r="AC6" s="587" t="str">
        <f>IF(SUM_SRC_EMAIL&lt;&gt;"",SUM_SRC_EMAIL,"Please set voyage contact email on the summary tab")</f>
        <v>Please set voyage contact email on the summary tab</v>
      </c>
      <c r="AD6" s="588"/>
      <c r="AE6" s="588"/>
      <c r="AF6" s="588"/>
      <c r="AG6" s="588"/>
      <c r="AH6" s="588"/>
      <c r="AI6" s="588"/>
      <c r="AJ6" s="589"/>
    </row>
    <row r="7" spans="1:39" ht="12.75" customHeight="1" thickBot="1" x14ac:dyDescent="0.35">
      <c r="B7" s="238" t="s">
        <v>71</v>
      </c>
      <c r="C7" s="239"/>
      <c r="D7" s="385"/>
      <c r="E7" s="199" t="s">
        <v>63</v>
      </c>
      <c r="F7" s="200"/>
      <c r="G7" s="815"/>
      <c r="H7" s="816"/>
      <c r="I7" s="223" t="s">
        <v>60</v>
      </c>
      <c r="J7" s="821"/>
      <c r="K7" s="822"/>
      <c r="L7" s="813" t="s">
        <v>1505</v>
      </c>
      <c r="M7" s="814"/>
      <c r="N7" s="826"/>
      <c r="O7" s="827"/>
      <c r="P7" s="827"/>
      <c r="Q7" s="827"/>
      <c r="R7" s="827"/>
      <c r="S7" s="828"/>
      <c r="U7" s="514"/>
      <c r="V7" s="514"/>
      <c r="W7" s="514"/>
      <c r="X7" s="514"/>
      <c r="Y7" s="514"/>
      <c r="Z7" s="514"/>
      <c r="AA7" s="514"/>
      <c r="AC7" s="590"/>
      <c r="AD7" s="591"/>
      <c r="AE7" s="591"/>
      <c r="AF7" s="591"/>
      <c r="AG7" s="591"/>
      <c r="AH7" s="591"/>
      <c r="AI7" s="591"/>
      <c r="AJ7" s="592"/>
    </row>
    <row r="8" spans="1:39" ht="12.75" customHeight="1" thickTop="1" thickBot="1" x14ac:dyDescent="0.35">
      <c r="E8" s="199" t="s">
        <v>64</v>
      </c>
      <c r="F8" s="200"/>
      <c r="G8" s="817"/>
      <c r="H8" s="818"/>
      <c r="I8" s="223" t="s">
        <v>61</v>
      </c>
      <c r="J8" s="823"/>
      <c r="K8" s="824"/>
      <c r="L8" s="806" t="s">
        <v>1506</v>
      </c>
      <c r="M8" s="807"/>
      <c r="N8" s="829"/>
      <c r="O8" s="830"/>
      <c r="P8" s="830"/>
      <c r="Q8" s="830"/>
      <c r="R8" s="830"/>
      <c r="S8" s="831"/>
      <c r="U8" s="514"/>
      <c r="V8" s="514"/>
      <c r="W8" s="514"/>
      <c r="X8" s="514"/>
      <c r="Y8" s="514"/>
      <c r="Z8" s="514"/>
      <c r="AA8" s="514"/>
      <c r="AC8" s="586" t="s">
        <v>2031</v>
      </c>
      <c r="AD8" s="586"/>
      <c r="AE8" s="586"/>
      <c r="AF8" s="586"/>
      <c r="AG8" s="586"/>
      <c r="AH8" s="586"/>
      <c r="AI8" s="586"/>
      <c r="AJ8" s="586"/>
    </row>
    <row r="9" spans="1:39" ht="12.75" customHeight="1" thickTop="1" thickBot="1" x14ac:dyDescent="0.35">
      <c r="E9" s="199" t="s">
        <v>1371</v>
      </c>
      <c r="F9" s="200"/>
      <c r="G9" s="819"/>
      <c r="H9" s="820"/>
      <c r="I9" s="224" t="s">
        <v>11</v>
      </c>
      <c r="J9" s="825"/>
      <c r="K9" s="803"/>
      <c r="L9" s="35"/>
      <c r="M9" s="35"/>
      <c r="N9" s="31"/>
      <c r="O9" s="31"/>
      <c r="P9" s="31"/>
      <c r="Q9" s="31"/>
      <c r="R9" s="31"/>
      <c r="S9" s="512"/>
      <c r="U9" s="514"/>
      <c r="V9" s="514"/>
      <c r="W9" s="514"/>
      <c r="X9" s="514"/>
      <c r="Y9" s="514"/>
      <c r="Z9" s="514"/>
      <c r="AA9" s="514"/>
    </row>
    <row r="10" spans="1:39" ht="12.75" customHeight="1" thickTop="1" thickBot="1" x14ac:dyDescent="0.35">
      <c r="B10" s="798" t="s">
        <v>1940</v>
      </c>
      <c r="C10" s="798"/>
      <c r="D10" s="798"/>
      <c r="E10" s="201" t="s">
        <v>1373</v>
      </c>
      <c r="F10" s="202"/>
      <c r="G10" s="631"/>
      <c r="H10" s="631"/>
      <c r="I10" s="31"/>
      <c r="J10" s="31"/>
      <c r="K10" s="31"/>
      <c r="L10" s="31"/>
      <c r="M10" s="31"/>
      <c r="N10" s="31"/>
      <c r="O10" s="31"/>
      <c r="P10" s="31"/>
      <c r="Q10" s="31"/>
      <c r="R10" s="31"/>
      <c r="S10" s="31"/>
      <c r="U10" s="206"/>
      <c r="V10" s="8"/>
      <c r="W10" s="8"/>
      <c r="X10" s="8"/>
      <c r="Y10" s="241"/>
      <c r="Z10" s="241"/>
      <c r="AA10" s="241"/>
      <c r="AD10" s="204"/>
      <c r="AE10" s="204"/>
      <c r="AF10" s="204"/>
      <c r="AG10" s="204"/>
    </row>
    <row r="11" spans="1:39" ht="6.75" customHeight="1" thickTop="1" thickBot="1" x14ac:dyDescent="0.3">
      <c r="B11" s="799"/>
      <c r="C11" s="799"/>
      <c r="D11" s="799"/>
      <c r="E11" s="242"/>
      <c r="F11" s="242"/>
      <c r="G11" s="242"/>
      <c r="H11" s="242"/>
      <c r="I11" s="242"/>
      <c r="J11" s="242"/>
      <c r="K11" s="242"/>
      <c r="L11" s="242"/>
      <c r="M11" s="242"/>
      <c r="X11" s="204"/>
      <c r="Y11" s="204"/>
      <c r="Z11" s="204"/>
    </row>
    <row r="12" spans="1:39" ht="21" customHeight="1" thickTop="1" x14ac:dyDescent="0.25">
      <c r="B12" s="207"/>
      <c r="C12" s="567" t="s">
        <v>1405</v>
      </c>
      <c r="D12" s="568"/>
      <c r="E12" s="568"/>
      <c r="F12" s="568"/>
      <c r="G12" s="568"/>
      <c r="H12" s="572"/>
      <c r="I12" s="567" t="s">
        <v>1411</v>
      </c>
      <c r="J12" s="568"/>
      <c r="K12" s="568"/>
      <c r="L12" s="568"/>
      <c r="M12" s="568"/>
      <c r="N12" s="568"/>
      <c r="O12" s="568"/>
      <c r="P12" s="568"/>
      <c r="Q12" s="568"/>
      <c r="R12" s="568"/>
      <c r="S12" s="568"/>
      <c r="T12" s="568"/>
      <c r="U12" s="568"/>
      <c r="V12" s="568"/>
      <c r="W12" s="568"/>
      <c r="X12" s="568"/>
      <c r="Y12" s="572"/>
      <c r="Z12" s="567" t="s">
        <v>1412</v>
      </c>
      <c r="AA12" s="568"/>
      <c r="AB12" s="568"/>
      <c r="AC12" s="568"/>
      <c r="AD12" s="568"/>
      <c r="AE12" s="568"/>
      <c r="AF12" s="572"/>
    </row>
    <row r="13" spans="1:39" s="198" customFormat="1" ht="45" customHeight="1" x14ac:dyDescent="0.25">
      <c r="B13" s="185" t="s">
        <v>1502</v>
      </c>
      <c r="C13" s="181" t="s">
        <v>1864</v>
      </c>
      <c r="D13" s="240" t="s">
        <v>623</v>
      </c>
      <c r="E13" s="182" t="s">
        <v>1375</v>
      </c>
      <c r="F13" s="182" t="s">
        <v>1407</v>
      </c>
      <c r="G13" s="182" t="s">
        <v>1374</v>
      </c>
      <c r="H13" s="196" t="s">
        <v>1406</v>
      </c>
      <c r="I13" s="195" t="s">
        <v>1865</v>
      </c>
      <c r="J13" s="196" t="s">
        <v>1866</v>
      </c>
      <c r="K13" s="182" t="s">
        <v>1867</v>
      </c>
      <c r="L13" s="196" t="s">
        <v>110</v>
      </c>
      <c r="M13" s="182" t="s">
        <v>622</v>
      </c>
      <c r="N13" s="196" t="s">
        <v>1876</v>
      </c>
      <c r="O13" s="182" t="s">
        <v>1409</v>
      </c>
      <c r="P13" s="196" t="s">
        <v>1508</v>
      </c>
      <c r="Q13" s="196" t="s">
        <v>1</v>
      </c>
      <c r="R13" s="182" t="s">
        <v>66</v>
      </c>
      <c r="S13" s="182" t="s">
        <v>67</v>
      </c>
      <c r="T13" s="182" t="s">
        <v>0</v>
      </c>
      <c r="U13" s="182" t="s">
        <v>389</v>
      </c>
      <c r="V13" s="182" t="s">
        <v>68</v>
      </c>
      <c r="W13" s="182" t="s">
        <v>69</v>
      </c>
      <c r="X13" s="182" t="s">
        <v>70</v>
      </c>
      <c r="Y13" s="183" t="s">
        <v>1359</v>
      </c>
      <c r="Z13" s="181" t="s">
        <v>1871</v>
      </c>
      <c r="AA13" s="182" t="s">
        <v>1410</v>
      </c>
      <c r="AB13" s="182" t="s">
        <v>1869</v>
      </c>
      <c r="AC13" s="182" t="s">
        <v>639</v>
      </c>
      <c r="AD13" s="184" t="s">
        <v>1870</v>
      </c>
      <c r="AE13" s="182" t="s">
        <v>1408</v>
      </c>
      <c r="AF13" s="183" t="s">
        <v>1508</v>
      </c>
      <c r="AH13" s="791" t="s">
        <v>1868</v>
      </c>
      <c r="AI13" s="791"/>
      <c r="AJ13" s="791"/>
      <c r="AK13" s="791"/>
      <c r="AL13" s="791"/>
      <c r="AM13" s="791"/>
    </row>
    <row r="14" spans="1:39" ht="13" x14ac:dyDescent="0.3">
      <c r="B14" s="346" t="str">
        <f>IF(C14="","Skip",IF(AND(Validator!J508=TRUE,Validator!J8=TRUE,Validator!J258,Validator!J258=TRUE,Validator!J758=TRUE,Validator!J1008=TRUE,Validator!J1258=TRUE),"Valid","Invalid"))</f>
        <v>Skip</v>
      </c>
      <c r="C14" s="69"/>
      <c r="D14" s="407"/>
      <c r="E14" s="408"/>
      <c r="F14" s="519"/>
      <c r="G14" s="205"/>
      <c r="H14" s="519"/>
      <c r="I14" s="194"/>
      <c r="J14" s="411"/>
      <c r="K14" s="395"/>
      <c r="L14" s="412"/>
      <c r="M14" s="310"/>
      <c r="N14" s="348"/>
      <c r="O14" s="398" t="s">
        <v>278</v>
      </c>
      <c r="P14" s="399" t="s">
        <v>77</v>
      </c>
      <c r="Q14" s="348"/>
      <c r="R14" s="308"/>
      <c r="S14" s="349"/>
      <c r="T14" s="349"/>
      <c r="U14" s="90" t="str">
        <f>IF(ISERROR(VLOOKUP($T14, 'Reference data'!$J$2:$K$139, 2, FALSE)),"-",VLOOKUP($T14, 'Reference data'!$J$2:$K$139, 2, FALSE))</f>
        <v>-</v>
      </c>
      <c r="V14" s="308"/>
      <c r="W14" s="308"/>
      <c r="X14" s="312"/>
      <c r="Y14" s="313"/>
      <c r="Z14" s="228"/>
      <c r="AA14" s="352"/>
      <c r="AB14" s="82"/>
      <c r="AC14" s="71"/>
      <c r="AD14" s="70"/>
      <c r="AE14" s="226" t="s">
        <v>278</v>
      </c>
      <c r="AF14" s="230" t="s">
        <v>77</v>
      </c>
      <c r="AH14" s="791"/>
      <c r="AI14" s="791"/>
      <c r="AJ14" s="791"/>
      <c r="AK14" s="791"/>
      <c r="AL14" s="791"/>
      <c r="AM14" s="791"/>
    </row>
    <row r="15" spans="1:39" ht="13" x14ac:dyDescent="0.3">
      <c r="B15" s="346" t="str">
        <f>IF(C15="","Skip",IF(AND(Validator!J509=TRUE,Validator!J9=TRUE,Validator!J259,Validator!J259=TRUE,Validator!J759=TRUE,Validator!J1009=TRUE,Validator!J1259=TRUE),"Valid","Invalid"))</f>
        <v>Skip</v>
      </c>
      <c r="C15" s="69"/>
      <c r="D15" s="407"/>
      <c r="E15" s="408"/>
      <c r="F15" s="519"/>
      <c r="G15" s="205"/>
      <c r="H15" s="519"/>
      <c r="I15" s="194"/>
      <c r="J15" s="411"/>
      <c r="K15" s="395"/>
      <c r="L15" s="412"/>
      <c r="M15" s="310"/>
      <c r="N15" s="413"/>
      <c r="O15" s="398" t="s">
        <v>278</v>
      </c>
      <c r="P15" s="399" t="s">
        <v>77</v>
      </c>
      <c r="Q15" s="348"/>
      <c r="R15" s="308"/>
      <c r="S15" s="349"/>
      <c r="T15" s="349"/>
      <c r="U15" s="90" t="str">
        <f>IF(ISERROR(VLOOKUP($T15, 'Reference data'!$J$2:$K$139, 2, FALSE)),"-",VLOOKUP($T15, 'Reference data'!$J$2:$K$139, 2, FALSE))</f>
        <v>-</v>
      </c>
      <c r="V15" s="308"/>
      <c r="W15" s="308"/>
      <c r="X15" s="312"/>
      <c r="Y15" s="313"/>
      <c r="Z15" s="228"/>
      <c r="AA15" s="352"/>
      <c r="AB15" s="82"/>
      <c r="AC15" s="71"/>
      <c r="AD15" s="70"/>
      <c r="AE15" s="226" t="s">
        <v>278</v>
      </c>
      <c r="AF15" s="230" t="s">
        <v>77</v>
      </c>
      <c r="AH15" s="791"/>
      <c r="AI15" s="791"/>
      <c r="AJ15" s="791"/>
      <c r="AK15" s="791"/>
      <c r="AL15" s="791"/>
      <c r="AM15" s="791"/>
    </row>
    <row r="16" spans="1:39" ht="13" x14ac:dyDescent="0.3">
      <c r="B16" s="346" t="str">
        <f>IF(C16="","Skip",IF(AND(Validator!J510=TRUE,Validator!J10=TRUE,Validator!J260,Validator!J260=TRUE,Validator!J760=TRUE,Validator!J1010=TRUE,Validator!J1260=TRUE),"Valid","Invalid"))</f>
        <v>Skip</v>
      </c>
      <c r="C16" s="69"/>
      <c r="D16" s="407"/>
      <c r="E16" s="408"/>
      <c r="F16" s="519"/>
      <c r="G16" s="205"/>
      <c r="H16" s="519"/>
      <c r="I16" s="194"/>
      <c r="J16" s="411"/>
      <c r="K16" s="395"/>
      <c r="L16" s="412"/>
      <c r="M16" s="310"/>
      <c r="N16" s="413"/>
      <c r="O16" s="398" t="s">
        <v>278</v>
      </c>
      <c r="P16" s="399" t="s">
        <v>77</v>
      </c>
      <c r="Q16" s="348"/>
      <c r="R16" s="308"/>
      <c r="S16" s="349"/>
      <c r="T16" s="349"/>
      <c r="U16" s="90" t="str">
        <f>IF(ISERROR(VLOOKUP($T16, 'Reference data'!$J$2:$K$139, 2, FALSE)),"-",VLOOKUP($T16, 'Reference data'!$J$2:$K$139, 2, FALSE))</f>
        <v>-</v>
      </c>
      <c r="V16" s="308"/>
      <c r="W16" s="308"/>
      <c r="X16" s="312"/>
      <c r="Y16" s="313"/>
      <c r="Z16" s="228"/>
      <c r="AA16" s="352"/>
      <c r="AB16" s="82"/>
      <c r="AC16" s="71"/>
      <c r="AD16" s="70"/>
      <c r="AE16" s="226" t="s">
        <v>278</v>
      </c>
      <c r="AF16" s="230" t="s">
        <v>77</v>
      </c>
      <c r="AH16" s="791"/>
      <c r="AI16" s="791"/>
      <c r="AJ16" s="791"/>
      <c r="AK16" s="791"/>
      <c r="AL16" s="791"/>
      <c r="AM16" s="791"/>
    </row>
    <row r="17" spans="2:39" ht="13" x14ac:dyDescent="0.3">
      <c r="B17" s="346" t="str">
        <f>IF(C17="","Skip",IF(AND(Validator!J511=TRUE,Validator!J11=TRUE,Validator!J261,Validator!J261=TRUE,Validator!J761=TRUE,Validator!J1011=TRUE,Validator!J1261=TRUE),"Valid","Invalid"))</f>
        <v>Skip</v>
      </c>
      <c r="C17" s="69"/>
      <c r="D17" s="407"/>
      <c r="E17" s="408"/>
      <c r="F17" s="519"/>
      <c r="G17" s="205"/>
      <c r="H17" s="519"/>
      <c r="I17" s="194"/>
      <c r="J17" s="411"/>
      <c r="K17" s="395"/>
      <c r="L17" s="412"/>
      <c r="M17" s="310"/>
      <c r="N17" s="413"/>
      <c r="O17" s="398" t="s">
        <v>278</v>
      </c>
      <c r="P17" s="399" t="s">
        <v>77</v>
      </c>
      <c r="Q17" s="348"/>
      <c r="R17" s="308"/>
      <c r="S17" s="349"/>
      <c r="T17" s="349"/>
      <c r="U17" s="90" t="str">
        <f>IF(ISERROR(VLOOKUP($T17, 'Reference data'!$J$2:$K$139, 2, FALSE)),"-",VLOOKUP($T17, 'Reference data'!$J$2:$K$139, 2, FALSE))</f>
        <v>-</v>
      </c>
      <c r="V17" s="308"/>
      <c r="W17" s="308"/>
      <c r="X17" s="312"/>
      <c r="Y17" s="313"/>
      <c r="Z17" s="228"/>
      <c r="AA17" s="352"/>
      <c r="AB17" s="82"/>
      <c r="AC17" s="71"/>
      <c r="AD17" s="70"/>
      <c r="AE17" s="226" t="s">
        <v>278</v>
      </c>
      <c r="AF17" s="230" t="s">
        <v>77</v>
      </c>
      <c r="AH17" s="791"/>
      <c r="AI17" s="791"/>
      <c r="AJ17" s="791"/>
      <c r="AK17" s="791"/>
      <c r="AL17" s="791"/>
      <c r="AM17" s="791"/>
    </row>
    <row r="18" spans="2:39" ht="13" x14ac:dyDescent="0.3">
      <c r="B18" s="346" t="str">
        <f>IF(C18="","Skip",IF(AND(Validator!J512=TRUE,Validator!J12=TRUE,Validator!J262,Validator!J262=TRUE,Validator!J762=TRUE,Validator!J1012=TRUE,Validator!J1262=TRUE),"Valid","Invalid"))</f>
        <v>Skip</v>
      </c>
      <c r="C18" s="69"/>
      <c r="D18" s="407"/>
      <c r="E18" s="408"/>
      <c r="F18" s="519"/>
      <c r="G18" s="205"/>
      <c r="H18" s="519"/>
      <c r="I18" s="194"/>
      <c r="J18" s="411"/>
      <c r="K18" s="395"/>
      <c r="L18" s="412"/>
      <c r="M18" s="310"/>
      <c r="N18" s="413"/>
      <c r="O18" s="398" t="s">
        <v>278</v>
      </c>
      <c r="P18" s="399" t="s">
        <v>77</v>
      </c>
      <c r="Q18" s="348"/>
      <c r="R18" s="308"/>
      <c r="S18" s="349"/>
      <c r="T18" s="349"/>
      <c r="U18" s="90" t="str">
        <f>IF(ISERROR(VLOOKUP($T18, 'Reference data'!$J$2:$K$139, 2, FALSE)),"-",VLOOKUP($T18, 'Reference data'!$J$2:$K$139, 2, FALSE))</f>
        <v>-</v>
      </c>
      <c r="V18" s="308"/>
      <c r="W18" s="308"/>
      <c r="X18" s="312"/>
      <c r="Y18" s="313"/>
      <c r="Z18" s="228"/>
      <c r="AA18" s="352"/>
      <c r="AB18" s="82"/>
      <c r="AC18" s="71"/>
      <c r="AD18" s="70"/>
      <c r="AE18" s="226" t="s">
        <v>278</v>
      </c>
      <c r="AF18" s="230" t="s">
        <v>77</v>
      </c>
    </row>
    <row r="19" spans="2:39" ht="13" x14ac:dyDescent="0.3">
      <c r="B19" s="346" t="str">
        <f>IF(C19="","Skip",IF(AND(Validator!J513=TRUE,Validator!J13=TRUE,Validator!J263,Validator!J263=TRUE,Validator!J763=TRUE,Validator!J1013=TRUE,Validator!J1263=TRUE),"Valid","Invalid"))</f>
        <v>Skip</v>
      </c>
      <c r="C19" s="69"/>
      <c r="D19" s="407"/>
      <c r="E19" s="408"/>
      <c r="F19" s="519"/>
      <c r="G19" s="205"/>
      <c r="H19" s="519"/>
      <c r="I19" s="194"/>
      <c r="J19" s="414"/>
      <c r="K19" s="395"/>
      <c r="L19" s="412"/>
      <c r="M19" s="310"/>
      <c r="N19" s="413"/>
      <c r="O19" s="398" t="s">
        <v>278</v>
      </c>
      <c r="P19" s="399" t="s">
        <v>77</v>
      </c>
      <c r="Q19" s="348"/>
      <c r="R19" s="308"/>
      <c r="S19" s="349"/>
      <c r="T19" s="349"/>
      <c r="U19" s="90" t="str">
        <f>IF(ISERROR(VLOOKUP($T19, 'Reference data'!$J$2:$K$139, 2, FALSE)),"-",VLOOKUP($T19, 'Reference data'!$J$2:$K$139, 2, FALSE))</f>
        <v>-</v>
      </c>
      <c r="V19" s="308"/>
      <c r="W19" s="308"/>
      <c r="X19" s="312"/>
      <c r="Y19" s="313"/>
      <c r="Z19" s="228"/>
      <c r="AA19" s="352"/>
      <c r="AB19" s="82"/>
      <c r="AC19" s="71"/>
      <c r="AD19" s="70"/>
      <c r="AE19" s="226" t="s">
        <v>278</v>
      </c>
      <c r="AF19" s="230" t="s">
        <v>77</v>
      </c>
    </row>
    <row r="20" spans="2:39" ht="13" x14ac:dyDescent="0.3">
      <c r="B20" s="346" t="str">
        <f>IF(C20="","Skip",IF(AND(Validator!J514=TRUE,Validator!J14=TRUE,Validator!J264,Validator!J264=TRUE,Validator!J764=TRUE,Validator!J1014=TRUE,Validator!J1264=TRUE),"Valid","Invalid"))</f>
        <v>Skip</v>
      </c>
      <c r="C20" s="69"/>
      <c r="D20" s="407"/>
      <c r="E20" s="408"/>
      <c r="F20" s="519"/>
      <c r="G20" s="205"/>
      <c r="H20" s="519"/>
      <c r="I20" s="194"/>
      <c r="J20" s="414"/>
      <c r="K20" s="395"/>
      <c r="L20" s="412"/>
      <c r="M20" s="310"/>
      <c r="N20" s="413"/>
      <c r="O20" s="398" t="s">
        <v>278</v>
      </c>
      <c r="P20" s="399" t="s">
        <v>77</v>
      </c>
      <c r="Q20" s="348"/>
      <c r="R20" s="308"/>
      <c r="S20" s="349"/>
      <c r="T20" s="349"/>
      <c r="U20" s="90" t="str">
        <f>IF(ISERROR(VLOOKUP($T20, 'Reference data'!$J$2:$K$139, 2, FALSE)),"-",VLOOKUP($T20, 'Reference data'!$J$2:$K$139, 2, FALSE))</f>
        <v>-</v>
      </c>
      <c r="V20" s="308"/>
      <c r="W20" s="308"/>
      <c r="X20" s="312"/>
      <c r="Y20" s="313"/>
      <c r="Z20" s="228"/>
      <c r="AA20" s="352"/>
      <c r="AB20" s="82"/>
      <c r="AC20" s="71"/>
      <c r="AD20" s="70"/>
      <c r="AE20" s="226" t="s">
        <v>278</v>
      </c>
      <c r="AF20" s="230" t="s">
        <v>77</v>
      </c>
    </row>
    <row r="21" spans="2:39" ht="13" x14ac:dyDescent="0.3">
      <c r="B21" s="346" t="str">
        <f>IF(C21="","Skip",IF(AND(Validator!J515=TRUE,Validator!J15=TRUE,Validator!J265,Validator!J265=TRUE,Validator!J765=TRUE,Validator!J1015=TRUE,Validator!J1265=TRUE),"Valid","Invalid"))</f>
        <v>Skip</v>
      </c>
      <c r="C21" s="69"/>
      <c r="D21" s="407"/>
      <c r="E21" s="408"/>
      <c r="F21" s="519"/>
      <c r="G21" s="205"/>
      <c r="H21" s="519"/>
      <c r="I21" s="194"/>
      <c r="J21" s="414"/>
      <c r="K21" s="395"/>
      <c r="L21" s="412"/>
      <c r="M21" s="310"/>
      <c r="N21" s="413"/>
      <c r="O21" s="398" t="s">
        <v>278</v>
      </c>
      <c r="P21" s="399" t="s">
        <v>77</v>
      </c>
      <c r="Q21" s="348"/>
      <c r="R21" s="308"/>
      <c r="S21" s="349"/>
      <c r="T21" s="349"/>
      <c r="U21" s="90" t="str">
        <f>IF(ISERROR(VLOOKUP($T21, 'Reference data'!$J$2:$K$139, 2, FALSE)),"-",VLOOKUP($T21, 'Reference data'!$J$2:$K$139, 2, FALSE))</f>
        <v>-</v>
      </c>
      <c r="V21" s="308"/>
      <c r="W21" s="308"/>
      <c r="X21" s="312"/>
      <c r="Y21" s="313"/>
      <c r="Z21" s="228"/>
      <c r="AA21" s="352"/>
      <c r="AB21" s="82"/>
      <c r="AC21" s="71"/>
      <c r="AD21" s="70"/>
      <c r="AE21" s="226" t="s">
        <v>278</v>
      </c>
      <c r="AF21" s="230" t="s">
        <v>77</v>
      </c>
    </row>
    <row r="22" spans="2:39" ht="13" x14ac:dyDescent="0.3">
      <c r="B22" s="346" t="str">
        <f>IF(C22="","Skip",IF(AND(Validator!J516=TRUE,Validator!J16=TRUE,Validator!J266,Validator!J266=TRUE,Validator!J766=TRUE,Validator!J1016=TRUE,Validator!J1266=TRUE),"Valid","Invalid"))</f>
        <v>Skip</v>
      </c>
      <c r="C22" s="69"/>
      <c r="D22" s="407"/>
      <c r="E22" s="408"/>
      <c r="F22" s="519"/>
      <c r="G22" s="205"/>
      <c r="H22" s="519"/>
      <c r="I22" s="194"/>
      <c r="J22" s="414"/>
      <c r="K22" s="395"/>
      <c r="L22" s="412"/>
      <c r="M22" s="310"/>
      <c r="N22" s="413"/>
      <c r="O22" s="398" t="s">
        <v>278</v>
      </c>
      <c r="P22" s="399" t="s">
        <v>77</v>
      </c>
      <c r="Q22" s="348"/>
      <c r="R22" s="308"/>
      <c r="S22" s="349"/>
      <c r="T22" s="349"/>
      <c r="U22" s="90" t="str">
        <f>IF(ISERROR(VLOOKUP($T22, 'Reference data'!$J$2:$K$139, 2, FALSE)),"-",VLOOKUP($T22, 'Reference data'!$J$2:$K$139, 2, FALSE))</f>
        <v>-</v>
      </c>
      <c r="V22" s="308"/>
      <c r="W22" s="308"/>
      <c r="X22" s="312"/>
      <c r="Y22" s="313"/>
      <c r="Z22" s="228"/>
      <c r="AA22" s="352"/>
      <c r="AB22" s="82"/>
      <c r="AC22" s="71"/>
      <c r="AD22" s="70"/>
      <c r="AE22" s="226" t="s">
        <v>278</v>
      </c>
      <c r="AF22" s="230" t="s">
        <v>77</v>
      </c>
    </row>
    <row r="23" spans="2:39" ht="13" x14ac:dyDescent="0.3">
      <c r="B23" s="346" t="str">
        <f>IF(C23="","Skip",IF(AND(Validator!J517=TRUE,Validator!J17=TRUE,Validator!J267,Validator!J267=TRUE,Validator!J767=TRUE,Validator!J1017=TRUE,Validator!J1267=TRUE),"Valid","Invalid"))</f>
        <v>Skip</v>
      </c>
      <c r="C23" s="69"/>
      <c r="D23" s="407"/>
      <c r="E23" s="408"/>
      <c r="F23" s="519"/>
      <c r="G23" s="205"/>
      <c r="H23" s="519"/>
      <c r="I23" s="194"/>
      <c r="J23" s="414"/>
      <c r="K23" s="395"/>
      <c r="L23" s="412"/>
      <c r="M23" s="310"/>
      <c r="N23" s="413"/>
      <c r="O23" s="398" t="s">
        <v>278</v>
      </c>
      <c r="P23" s="399" t="s">
        <v>77</v>
      </c>
      <c r="Q23" s="348"/>
      <c r="R23" s="308"/>
      <c r="S23" s="349"/>
      <c r="T23" s="349"/>
      <c r="U23" s="90" t="str">
        <f>IF(ISERROR(VLOOKUP($T23, 'Reference data'!$J$2:$K$139, 2, FALSE)),"-",VLOOKUP($T23, 'Reference data'!$J$2:$K$139, 2, FALSE))</f>
        <v>-</v>
      </c>
      <c r="V23" s="308"/>
      <c r="W23" s="308"/>
      <c r="X23" s="312"/>
      <c r="Y23" s="313"/>
      <c r="Z23" s="228"/>
      <c r="AA23" s="352"/>
      <c r="AB23" s="82"/>
      <c r="AC23" s="71"/>
      <c r="AD23" s="70"/>
      <c r="AE23" s="226" t="s">
        <v>278</v>
      </c>
      <c r="AF23" s="230" t="s">
        <v>77</v>
      </c>
    </row>
    <row r="24" spans="2:39" ht="13" x14ac:dyDescent="0.3">
      <c r="B24" s="346" t="str">
        <f>IF(C24="","Skip",IF(AND(Validator!J518=TRUE,Validator!J18=TRUE,Validator!J268,Validator!J268=TRUE,Validator!J768=TRUE,Validator!J1018=TRUE,Validator!J1268=TRUE),"Valid","Invalid"))</f>
        <v>Skip</v>
      </c>
      <c r="C24" s="69"/>
      <c r="D24" s="407"/>
      <c r="E24" s="408"/>
      <c r="F24" s="519"/>
      <c r="G24" s="205"/>
      <c r="H24" s="519"/>
      <c r="I24" s="194"/>
      <c r="J24" s="414"/>
      <c r="K24" s="395"/>
      <c r="L24" s="412"/>
      <c r="M24" s="310"/>
      <c r="N24" s="413"/>
      <c r="O24" s="398" t="s">
        <v>278</v>
      </c>
      <c r="P24" s="399" t="s">
        <v>77</v>
      </c>
      <c r="Q24" s="348"/>
      <c r="R24" s="308"/>
      <c r="S24" s="349"/>
      <c r="T24" s="349"/>
      <c r="U24" s="90" t="str">
        <f>IF(ISERROR(VLOOKUP($T24, 'Reference data'!$J$2:$K$139, 2, FALSE)),"-",VLOOKUP($T24, 'Reference data'!$J$2:$K$139, 2, FALSE))</f>
        <v>-</v>
      </c>
      <c r="V24" s="308"/>
      <c r="W24" s="308"/>
      <c r="X24" s="312"/>
      <c r="Y24" s="313"/>
      <c r="Z24" s="228"/>
      <c r="AA24" s="352"/>
      <c r="AB24" s="82"/>
      <c r="AC24" s="71"/>
      <c r="AD24" s="70"/>
      <c r="AE24" s="226" t="s">
        <v>278</v>
      </c>
      <c r="AF24" s="230" t="s">
        <v>77</v>
      </c>
    </row>
    <row r="25" spans="2:39" ht="13" x14ac:dyDescent="0.3">
      <c r="B25" s="346" t="str">
        <f>IF(C25="","Skip",IF(AND(Validator!J519=TRUE,Validator!J19=TRUE,Validator!J269,Validator!J269=TRUE,Validator!J769=TRUE,Validator!J1019=TRUE,Validator!J1269=TRUE),"Valid","Invalid"))</f>
        <v>Skip</v>
      </c>
      <c r="C25" s="69"/>
      <c r="D25" s="407"/>
      <c r="E25" s="408"/>
      <c r="F25" s="519"/>
      <c r="G25" s="205"/>
      <c r="H25" s="519"/>
      <c r="I25" s="194"/>
      <c r="J25" s="414"/>
      <c r="K25" s="395"/>
      <c r="L25" s="412"/>
      <c r="M25" s="310"/>
      <c r="N25" s="413"/>
      <c r="O25" s="398" t="s">
        <v>278</v>
      </c>
      <c r="P25" s="399" t="s">
        <v>77</v>
      </c>
      <c r="Q25" s="348"/>
      <c r="R25" s="308"/>
      <c r="S25" s="349"/>
      <c r="T25" s="349"/>
      <c r="U25" s="90" t="str">
        <f>IF(ISERROR(VLOOKUP($T25, 'Reference data'!$J$2:$K$139, 2, FALSE)),"-",VLOOKUP($T25, 'Reference data'!$J$2:$K$139, 2, FALSE))</f>
        <v>-</v>
      </c>
      <c r="V25" s="308"/>
      <c r="W25" s="308"/>
      <c r="X25" s="312"/>
      <c r="Y25" s="313"/>
      <c r="Z25" s="228"/>
      <c r="AA25" s="352"/>
      <c r="AB25" s="82"/>
      <c r="AC25" s="71"/>
      <c r="AD25" s="70"/>
      <c r="AE25" s="226" t="s">
        <v>278</v>
      </c>
      <c r="AF25" s="230" t="s">
        <v>77</v>
      </c>
    </row>
    <row r="26" spans="2:39" ht="13" x14ac:dyDescent="0.3">
      <c r="B26" s="346" t="str">
        <f>IF(C26="","Skip",IF(AND(Validator!J520=TRUE,Validator!J20=TRUE,Validator!J270,Validator!J270=TRUE,Validator!J770=TRUE,Validator!J1020=TRUE,Validator!J1270=TRUE),"Valid","Invalid"))</f>
        <v>Skip</v>
      </c>
      <c r="C26" s="69"/>
      <c r="D26" s="407"/>
      <c r="E26" s="408"/>
      <c r="F26" s="519"/>
      <c r="G26" s="205"/>
      <c r="H26" s="519"/>
      <c r="I26" s="194"/>
      <c r="J26" s="414"/>
      <c r="K26" s="395"/>
      <c r="L26" s="412"/>
      <c r="M26" s="310"/>
      <c r="N26" s="413"/>
      <c r="O26" s="398" t="s">
        <v>278</v>
      </c>
      <c r="P26" s="399" t="s">
        <v>77</v>
      </c>
      <c r="Q26" s="348"/>
      <c r="R26" s="308"/>
      <c r="S26" s="349"/>
      <c r="T26" s="349"/>
      <c r="U26" s="90" t="str">
        <f>IF(ISERROR(VLOOKUP($T26, 'Reference data'!$J$2:$K$139, 2, FALSE)),"-",VLOOKUP($T26, 'Reference data'!$J$2:$K$139, 2, FALSE))</f>
        <v>-</v>
      </c>
      <c r="V26" s="308"/>
      <c r="W26" s="308"/>
      <c r="X26" s="312"/>
      <c r="Y26" s="313"/>
      <c r="Z26" s="228"/>
      <c r="AA26" s="352"/>
      <c r="AB26" s="82"/>
      <c r="AC26" s="71"/>
      <c r="AD26" s="70"/>
      <c r="AE26" s="226" t="s">
        <v>278</v>
      </c>
      <c r="AF26" s="230" t="s">
        <v>77</v>
      </c>
    </row>
    <row r="27" spans="2:39" ht="13" x14ac:dyDescent="0.3">
      <c r="B27" s="346" t="str">
        <f>IF(C27="","Skip",IF(AND(Validator!J521=TRUE,Validator!J21=TRUE,Validator!J271,Validator!J271=TRUE,Validator!J771=TRUE,Validator!J1021=TRUE,Validator!J1271=TRUE),"Valid","Invalid"))</f>
        <v>Skip</v>
      </c>
      <c r="C27" s="69"/>
      <c r="D27" s="407"/>
      <c r="E27" s="408"/>
      <c r="F27" s="519"/>
      <c r="G27" s="205"/>
      <c r="H27" s="519"/>
      <c r="I27" s="194"/>
      <c r="J27" s="414"/>
      <c r="K27" s="395"/>
      <c r="L27" s="412"/>
      <c r="M27" s="310"/>
      <c r="N27" s="413"/>
      <c r="O27" s="398" t="s">
        <v>278</v>
      </c>
      <c r="P27" s="399" t="s">
        <v>77</v>
      </c>
      <c r="Q27" s="348"/>
      <c r="R27" s="308"/>
      <c r="S27" s="349"/>
      <c r="T27" s="349"/>
      <c r="U27" s="90" t="str">
        <f>IF(ISERROR(VLOOKUP($T27, 'Reference data'!$J$2:$K$139, 2, FALSE)),"-",VLOOKUP($T27, 'Reference data'!$J$2:$K$139, 2, FALSE))</f>
        <v>-</v>
      </c>
      <c r="V27" s="308"/>
      <c r="W27" s="308"/>
      <c r="X27" s="312"/>
      <c r="Y27" s="313"/>
      <c r="Z27" s="228"/>
      <c r="AA27" s="352"/>
      <c r="AB27" s="82"/>
      <c r="AC27" s="71"/>
      <c r="AD27" s="70"/>
      <c r="AE27" s="226" t="s">
        <v>278</v>
      </c>
      <c r="AF27" s="230" t="s">
        <v>77</v>
      </c>
    </row>
    <row r="28" spans="2:39" ht="13" x14ac:dyDescent="0.3">
      <c r="B28" s="346" t="str">
        <f>IF(C28="","Skip",IF(AND(Validator!J522=TRUE,Validator!J22=TRUE,Validator!J272,Validator!J272=TRUE,Validator!J772=TRUE,Validator!J1022=TRUE,Validator!J1272=TRUE),"Valid","Invalid"))</f>
        <v>Skip</v>
      </c>
      <c r="C28" s="69"/>
      <c r="D28" s="407"/>
      <c r="E28" s="408"/>
      <c r="F28" s="519"/>
      <c r="G28" s="205"/>
      <c r="H28" s="519"/>
      <c r="I28" s="194"/>
      <c r="J28" s="414"/>
      <c r="K28" s="395"/>
      <c r="L28" s="412"/>
      <c r="M28" s="310"/>
      <c r="N28" s="413"/>
      <c r="O28" s="398" t="s">
        <v>278</v>
      </c>
      <c r="P28" s="399" t="s">
        <v>77</v>
      </c>
      <c r="Q28" s="348"/>
      <c r="R28" s="308"/>
      <c r="S28" s="349"/>
      <c r="T28" s="349"/>
      <c r="U28" s="90" t="str">
        <f>IF(ISERROR(VLOOKUP($T28, 'Reference data'!$J$2:$K$139, 2, FALSE)),"-",VLOOKUP($T28, 'Reference data'!$J$2:$K$139, 2, FALSE))</f>
        <v>-</v>
      </c>
      <c r="V28" s="308"/>
      <c r="W28" s="308"/>
      <c r="X28" s="312"/>
      <c r="Y28" s="313"/>
      <c r="Z28" s="228"/>
      <c r="AA28" s="352"/>
      <c r="AB28" s="82"/>
      <c r="AC28" s="71"/>
      <c r="AD28" s="70"/>
      <c r="AE28" s="226" t="s">
        <v>278</v>
      </c>
      <c r="AF28" s="230" t="s">
        <v>77</v>
      </c>
    </row>
    <row r="29" spans="2:39" ht="13" x14ac:dyDescent="0.3">
      <c r="B29" s="346" t="str">
        <f>IF(C29="","Skip",IF(AND(Validator!J523=TRUE,Validator!J23=TRUE,Validator!J273,Validator!J273=TRUE,Validator!J773=TRUE,Validator!J1023=TRUE,Validator!J1273=TRUE),"Valid","Invalid"))</f>
        <v>Skip</v>
      </c>
      <c r="C29" s="69"/>
      <c r="D29" s="407"/>
      <c r="E29" s="408"/>
      <c r="F29" s="519"/>
      <c r="G29" s="205"/>
      <c r="H29" s="519"/>
      <c r="I29" s="194"/>
      <c r="J29" s="414"/>
      <c r="K29" s="395"/>
      <c r="L29" s="412"/>
      <c r="M29" s="310"/>
      <c r="N29" s="413"/>
      <c r="O29" s="398" t="s">
        <v>278</v>
      </c>
      <c r="P29" s="399" t="s">
        <v>77</v>
      </c>
      <c r="Q29" s="348"/>
      <c r="R29" s="308"/>
      <c r="S29" s="349"/>
      <c r="T29" s="349"/>
      <c r="U29" s="90" t="str">
        <f>IF(ISERROR(VLOOKUP($T29, 'Reference data'!$J$2:$K$139, 2, FALSE)),"-",VLOOKUP($T29, 'Reference data'!$J$2:$K$139, 2, FALSE))</f>
        <v>-</v>
      </c>
      <c r="V29" s="308"/>
      <c r="W29" s="308"/>
      <c r="X29" s="312"/>
      <c r="Y29" s="313"/>
      <c r="Z29" s="228"/>
      <c r="AA29" s="352"/>
      <c r="AB29" s="82"/>
      <c r="AC29" s="71"/>
      <c r="AD29" s="70"/>
      <c r="AE29" s="226" t="s">
        <v>278</v>
      </c>
      <c r="AF29" s="230" t="s">
        <v>77</v>
      </c>
    </row>
    <row r="30" spans="2:39" ht="13" x14ac:dyDescent="0.3">
      <c r="B30" s="346" t="str">
        <f>IF(C30="","Skip",IF(AND(Validator!J524=TRUE,Validator!J24=TRUE,Validator!J274,Validator!J274=TRUE,Validator!J774=TRUE,Validator!J1024=TRUE,Validator!J1274=TRUE),"Valid","Invalid"))</f>
        <v>Skip</v>
      </c>
      <c r="C30" s="69"/>
      <c r="D30" s="407"/>
      <c r="E30" s="408"/>
      <c r="F30" s="519"/>
      <c r="G30" s="205"/>
      <c r="H30" s="519"/>
      <c r="I30" s="194"/>
      <c r="J30" s="414"/>
      <c r="K30" s="395"/>
      <c r="L30" s="412"/>
      <c r="M30" s="310"/>
      <c r="N30" s="413"/>
      <c r="O30" s="398" t="s">
        <v>278</v>
      </c>
      <c r="P30" s="399" t="s">
        <v>77</v>
      </c>
      <c r="Q30" s="348"/>
      <c r="R30" s="308"/>
      <c r="S30" s="349"/>
      <c r="T30" s="349"/>
      <c r="U30" s="90" t="str">
        <f>IF(ISERROR(VLOOKUP($T30, 'Reference data'!$J$2:$K$139, 2, FALSE)),"-",VLOOKUP($T30, 'Reference data'!$J$2:$K$139, 2, FALSE))</f>
        <v>-</v>
      </c>
      <c r="V30" s="308"/>
      <c r="W30" s="308"/>
      <c r="X30" s="312"/>
      <c r="Y30" s="313"/>
      <c r="Z30" s="228"/>
      <c r="AA30" s="352"/>
      <c r="AB30" s="82"/>
      <c r="AC30" s="71"/>
      <c r="AD30" s="70"/>
      <c r="AE30" s="226" t="s">
        <v>278</v>
      </c>
      <c r="AF30" s="230" t="s">
        <v>77</v>
      </c>
    </row>
    <row r="31" spans="2:39" ht="13" x14ac:dyDescent="0.3">
      <c r="B31" s="346" t="str">
        <f>IF(C31="","Skip",IF(AND(Validator!J525=TRUE,Validator!J25=TRUE,Validator!J275,Validator!J275=TRUE,Validator!J775=TRUE,Validator!J1025=TRUE,Validator!J1275=TRUE),"Valid","Invalid"))</f>
        <v>Skip</v>
      </c>
      <c r="C31" s="69"/>
      <c r="D31" s="407"/>
      <c r="E31" s="408"/>
      <c r="F31" s="519"/>
      <c r="G31" s="205"/>
      <c r="H31" s="519"/>
      <c r="I31" s="194"/>
      <c r="J31" s="414"/>
      <c r="K31" s="395"/>
      <c r="L31" s="412"/>
      <c r="M31" s="310"/>
      <c r="N31" s="413"/>
      <c r="O31" s="398" t="s">
        <v>278</v>
      </c>
      <c r="P31" s="399" t="s">
        <v>77</v>
      </c>
      <c r="Q31" s="348"/>
      <c r="R31" s="308"/>
      <c r="S31" s="349"/>
      <c r="T31" s="349"/>
      <c r="U31" s="90" t="str">
        <f>IF(ISERROR(VLOOKUP($T31, 'Reference data'!$J$2:$K$139, 2, FALSE)),"-",VLOOKUP($T31, 'Reference data'!$J$2:$K$139, 2, FALSE))</f>
        <v>-</v>
      </c>
      <c r="V31" s="308"/>
      <c r="W31" s="308"/>
      <c r="X31" s="312"/>
      <c r="Y31" s="313"/>
      <c r="Z31" s="228"/>
      <c r="AA31" s="352"/>
      <c r="AB31" s="82"/>
      <c r="AC31" s="71"/>
      <c r="AD31" s="70"/>
      <c r="AE31" s="226" t="s">
        <v>278</v>
      </c>
      <c r="AF31" s="230" t="s">
        <v>77</v>
      </c>
    </row>
    <row r="32" spans="2:39" ht="13" x14ac:dyDescent="0.3">
      <c r="B32" s="346" t="str">
        <f>IF(C32="","Skip",IF(AND(Validator!J526=TRUE,Validator!J26=TRUE,Validator!J276,Validator!J276=TRUE,Validator!J776=TRUE,Validator!J1026=TRUE,Validator!J1276=TRUE),"Valid","Invalid"))</f>
        <v>Skip</v>
      </c>
      <c r="C32" s="69"/>
      <c r="D32" s="407"/>
      <c r="E32" s="408"/>
      <c r="F32" s="519"/>
      <c r="G32" s="205"/>
      <c r="H32" s="519"/>
      <c r="I32" s="194"/>
      <c r="J32" s="414"/>
      <c r="K32" s="395"/>
      <c r="L32" s="412"/>
      <c r="M32" s="310"/>
      <c r="N32" s="413"/>
      <c r="O32" s="398" t="s">
        <v>278</v>
      </c>
      <c r="P32" s="399" t="s">
        <v>77</v>
      </c>
      <c r="Q32" s="348"/>
      <c r="R32" s="308"/>
      <c r="S32" s="349"/>
      <c r="T32" s="349"/>
      <c r="U32" s="90" t="str">
        <f>IF(ISERROR(VLOOKUP($T32, 'Reference data'!$J$2:$K$139, 2, FALSE)),"-",VLOOKUP($T32, 'Reference data'!$J$2:$K$139, 2, FALSE))</f>
        <v>-</v>
      </c>
      <c r="V32" s="308"/>
      <c r="W32" s="308"/>
      <c r="X32" s="312"/>
      <c r="Y32" s="313"/>
      <c r="Z32" s="228"/>
      <c r="AA32" s="352"/>
      <c r="AB32" s="82"/>
      <c r="AC32" s="71"/>
      <c r="AD32" s="70"/>
      <c r="AE32" s="226" t="s">
        <v>278</v>
      </c>
      <c r="AF32" s="230" t="s">
        <v>77</v>
      </c>
    </row>
    <row r="33" spans="2:32" ht="13" x14ac:dyDescent="0.3">
      <c r="B33" s="346" t="str">
        <f>IF(C33="","Skip",IF(AND(Validator!J527=TRUE,Validator!J27=TRUE,Validator!J277,Validator!J277=TRUE,Validator!J777=TRUE,Validator!J1027=TRUE,Validator!J1277=TRUE),"Valid","Invalid"))</f>
        <v>Skip</v>
      </c>
      <c r="C33" s="69"/>
      <c r="D33" s="407"/>
      <c r="E33" s="408"/>
      <c r="F33" s="519"/>
      <c r="G33" s="205"/>
      <c r="H33" s="519"/>
      <c r="I33" s="194"/>
      <c r="J33" s="414"/>
      <c r="K33" s="395"/>
      <c r="L33" s="412"/>
      <c r="M33" s="310"/>
      <c r="N33" s="413"/>
      <c r="O33" s="398" t="s">
        <v>278</v>
      </c>
      <c r="P33" s="399" t="s">
        <v>77</v>
      </c>
      <c r="Q33" s="348"/>
      <c r="R33" s="308"/>
      <c r="S33" s="349"/>
      <c r="T33" s="349"/>
      <c r="U33" s="90" t="str">
        <f>IF(ISERROR(VLOOKUP($T33, 'Reference data'!$J$2:$K$139, 2, FALSE)),"-",VLOOKUP($T33, 'Reference data'!$J$2:$K$139, 2, FALSE))</f>
        <v>-</v>
      </c>
      <c r="V33" s="308"/>
      <c r="W33" s="308"/>
      <c r="X33" s="312"/>
      <c r="Y33" s="313"/>
      <c r="Z33" s="228"/>
      <c r="AA33" s="352"/>
      <c r="AB33" s="82"/>
      <c r="AC33" s="71"/>
      <c r="AD33" s="70"/>
      <c r="AE33" s="226" t="s">
        <v>278</v>
      </c>
      <c r="AF33" s="230" t="s">
        <v>77</v>
      </c>
    </row>
    <row r="34" spans="2:32" ht="13" x14ac:dyDescent="0.3">
      <c r="B34" s="346" t="str">
        <f>IF(C34="","Skip",IF(AND(Validator!J528=TRUE,Validator!J28=TRUE,Validator!J278,Validator!J278=TRUE,Validator!J778=TRUE,Validator!J1028=TRUE,Validator!J1278=TRUE),"Valid","Invalid"))</f>
        <v>Skip</v>
      </c>
      <c r="C34" s="69"/>
      <c r="D34" s="407"/>
      <c r="E34" s="408"/>
      <c r="F34" s="519"/>
      <c r="G34" s="205"/>
      <c r="H34" s="519"/>
      <c r="I34" s="194"/>
      <c r="J34" s="414"/>
      <c r="K34" s="395"/>
      <c r="L34" s="412"/>
      <c r="M34" s="310"/>
      <c r="N34" s="413"/>
      <c r="O34" s="398" t="s">
        <v>278</v>
      </c>
      <c r="P34" s="399" t="s">
        <v>77</v>
      </c>
      <c r="Q34" s="348"/>
      <c r="R34" s="308"/>
      <c r="S34" s="349"/>
      <c r="T34" s="349"/>
      <c r="U34" s="90" t="str">
        <f>IF(ISERROR(VLOOKUP($T34, 'Reference data'!$J$2:$K$139, 2, FALSE)),"-",VLOOKUP($T34, 'Reference data'!$J$2:$K$139, 2, FALSE))</f>
        <v>-</v>
      </c>
      <c r="V34" s="308"/>
      <c r="W34" s="308"/>
      <c r="X34" s="312"/>
      <c r="Y34" s="313"/>
      <c r="Z34" s="228"/>
      <c r="AA34" s="352"/>
      <c r="AB34" s="82"/>
      <c r="AC34" s="71"/>
      <c r="AD34" s="70"/>
      <c r="AE34" s="226" t="s">
        <v>278</v>
      </c>
      <c r="AF34" s="230" t="s">
        <v>77</v>
      </c>
    </row>
    <row r="35" spans="2:32" ht="13" x14ac:dyDescent="0.3">
      <c r="B35" s="346" t="str">
        <f>IF(C35="","Skip",IF(AND(Validator!J529=TRUE,Validator!J29=TRUE,Validator!J279,Validator!J279=TRUE,Validator!J779=TRUE,Validator!J1029=TRUE,Validator!J1279=TRUE),"Valid","Invalid"))</f>
        <v>Skip</v>
      </c>
      <c r="C35" s="69"/>
      <c r="D35" s="407"/>
      <c r="E35" s="408"/>
      <c r="F35" s="519"/>
      <c r="G35" s="205"/>
      <c r="H35" s="519"/>
      <c r="I35" s="194"/>
      <c r="J35" s="414"/>
      <c r="K35" s="395"/>
      <c r="L35" s="412"/>
      <c r="M35" s="310"/>
      <c r="N35" s="413"/>
      <c r="O35" s="398" t="s">
        <v>278</v>
      </c>
      <c r="P35" s="399" t="s">
        <v>77</v>
      </c>
      <c r="Q35" s="348"/>
      <c r="R35" s="308"/>
      <c r="S35" s="349"/>
      <c r="T35" s="349"/>
      <c r="U35" s="90" t="str">
        <f>IF(ISERROR(VLOOKUP($T35, 'Reference data'!$J$2:$K$139, 2, FALSE)),"-",VLOOKUP($T35, 'Reference data'!$J$2:$K$139, 2, FALSE))</f>
        <v>-</v>
      </c>
      <c r="V35" s="308"/>
      <c r="W35" s="308"/>
      <c r="X35" s="312"/>
      <c r="Y35" s="313"/>
      <c r="Z35" s="228"/>
      <c r="AA35" s="352"/>
      <c r="AB35" s="82"/>
      <c r="AC35" s="71"/>
      <c r="AD35" s="70"/>
      <c r="AE35" s="226" t="s">
        <v>278</v>
      </c>
      <c r="AF35" s="230" t="s">
        <v>77</v>
      </c>
    </row>
    <row r="36" spans="2:32" ht="13" x14ac:dyDescent="0.3">
      <c r="B36" s="346" t="str">
        <f>IF(C36="","Skip",IF(AND(Validator!J530=TRUE,Validator!J30=TRUE,Validator!J280,Validator!J280=TRUE,Validator!J780=TRUE,Validator!J1030=TRUE,Validator!J1280=TRUE),"Valid","Invalid"))</f>
        <v>Skip</v>
      </c>
      <c r="C36" s="69"/>
      <c r="D36" s="407"/>
      <c r="E36" s="408"/>
      <c r="F36" s="519"/>
      <c r="G36" s="205"/>
      <c r="H36" s="519"/>
      <c r="I36" s="194"/>
      <c r="J36" s="414"/>
      <c r="K36" s="395"/>
      <c r="L36" s="412"/>
      <c r="M36" s="310"/>
      <c r="N36" s="413"/>
      <c r="O36" s="398" t="s">
        <v>278</v>
      </c>
      <c r="P36" s="399" t="s">
        <v>77</v>
      </c>
      <c r="Q36" s="348"/>
      <c r="R36" s="308"/>
      <c r="S36" s="349"/>
      <c r="T36" s="349"/>
      <c r="U36" s="90" t="str">
        <f>IF(ISERROR(VLOOKUP($T36, 'Reference data'!$J$2:$K$139, 2, FALSE)),"-",VLOOKUP($T36, 'Reference data'!$J$2:$K$139, 2, FALSE))</f>
        <v>-</v>
      </c>
      <c r="V36" s="308"/>
      <c r="W36" s="308"/>
      <c r="X36" s="312"/>
      <c r="Y36" s="313"/>
      <c r="Z36" s="228"/>
      <c r="AA36" s="352"/>
      <c r="AB36" s="82"/>
      <c r="AC36" s="71"/>
      <c r="AD36" s="70"/>
      <c r="AE36" s="226" t="s">
        <v>278</v>
      </c>
      <c r="AF36" s="230" t="s">
        <v>77</v>
      </c>
    </row>
    <row r="37" spans="2:32" ht="13" x14ac:dyDescent="0.3">
      <c r="B37" s="346" t="str">
        <f>IF(C37="","Skip",IF(AND(Validator!J531=TRUE,Validator!J31=TRUE,Validator!J281,Validator!J281=TRUE,Validator!J781=TRUE,Validator!J1031=TRUE,Validator!J1281=TRUE),"Valid","Invalid"))</f>
        <v>Skip</v>
      </c>
      <c r="C37" s="69"/>
      <c r="D37" s="407"/>
      <c r="E37" s="408"/>
      <c r="F37" s="519"/>
      <c r="G37" s="205"/>
      <c r="H37" s="519"/>
      <c r="I37" s="194"/>
      <c r="J37" s="414"/>
      <c r="K37" s="395"/>
      <c r="L37" s="412"/>
      <c r="M37" s="310"/>
      <c r="N37" s="413"/>
      <c r="O37" s="398" t="s">
        <v>278</v>
      </c>
      <c r="P37" s="399" t="s">
        <v>77</v>
      </c>
      <c r="Q37" s="348"/>
      <c r="R37" s="308"/>
      <c r="S37" s="349"/>
      <c r="T37" s="349"/>
      <c r="U37" s="90" t="str">
        <f>IF(ISERROR(VLOOKUP($T37, 'Reference data'!$J$2:$K$139, 2, FALSE)),"-",VLOOKUP($T37, 'Reference data'!$J$2:$K$139, 2, FALSE))</f>
        <v>-</v>
      </c>
      <c r="V37" s="308"/>
      <c r="W37" s="308"/>
      <c r="X37" s="312"/>
      <c r="Y37" s="313"/>
      <c r="Z37" s="228"/>
      <c r="AA37" s="352"/>
      <c r="AB37" s="82"/>
      <c r="AC37" s="71"/>
      <c r="AD37" s="70"/>
      <c r="AE37" s="226" t="s">
        <v>278</v>
      </c>
      <c r="AF37" s="230" t="s">
        <v>77</v>
      </c>
    </row>
    <row r="38" spans="2:32" ht="13" x14ac:dyDescent="0.3">
      <c r="B38" s="346" t="str">
        <f>IF(C38="","Skip",IF(AND(Validator!J532=TRUE,Validator!J32=TRUE,Validator!J282,Validator!J282=TRUE,Validator!J782=TRUE,Validator!J1032=TRUE,Validator!J1282=TRUE),"Valid","Invalid"))</f>
        <v>Skip</v>
      </c>
      <c r="C38" s="69"/>
      <c r="D38" s="407"/>
      <c r="E38" s="408"/>
      <c r="F38" s="519"/>
      <c r="G38" s="205"/>
      <c r="H38" s="519"/>
      <c r="I38" s="194"/>
      <c r="J38" s="414"/>
      <c r="K38" s="395"/>
      <c r="L38" s="412"/>
      <c r="M38" s="310"/>
      <c r="N38" s="413"/>
      <c r="O38" s="398" t="s">
        <v>278</v>
      </c>
      <c r="P38" s="399" t="s">
        <v>77</v>
      </c>
      <c r="Q38" s="348"/>
      <c r="R38" s="308"/>
      <c r="S38" s="349"/>
      <c r="T38" s="349"/>
      <c r="U38" s="90" t="str">
        <f>IF(ISERROR(VLOOKUP($T38, 'Reference data'!$J$2:$K$139, 2, FALSE)),"-",VLOOKUP($T38, 'Reference data'!$J$2:$K$139, 2, FALSE))</f>
        <v>-</v>
      </c>
      <c r="V38" s="308"/>
      <c r="W38" s="308"/>
      <c r="X38" s="312"/>
      <c r="Y38" s="313"/>
      <c r="Z38" s="228"/>
      <c r="AA38" s="352"/>
      <c r="AB38" s="82"/>
      <c r="AC38" s="71"/>
      <c r="AD38" s="70"/>
      <c r="AE38" s="226" t="s">
        <v>278</v>
      </c>
      <c r="AF38" s="230" t="s">
        <v>77</v>
      </c>
    </row>
    <row r="39" spans="2:32" ht="13" x14ac:dyDescent="0.3">
      <c r="B39" s="346" t="str">
        <f>IF(C39="","Skip",IF(AND(Validator!J533=TRUE,Validator!J33=TRUE,Validator!J283,Validator!J283=TRUE,Validator!J783=TRUE,Validator!J1033=TRUE,Validator!J1283=TRUE),"Valid","Invalid"))</f>
        <v>Skip</v>
      </c>
      <c r="C39" s="69"/>
      <c r="D39" s="407"/>
      <c r="E39" s="408"/>
      <c r="F39" s="519"/>
      <c r="G39" s="205"/>
      <c r="H39" s="519"/>
      <c r="I39" s="194"/>
      <c r="J39" s="414"/>
      <c r="K39" s="395"/>
      <c r="L39" s="412"/>
      <c r="M39" s="310"/>
      <c r="N39" s="413"/>
      <c r="O39" s="398" t="s">
        <v>278</v>
      </c>
      <c r="P39" s="399" t="s">
        <v>77</v>
      </c>
      <c r="Q39" s="348"/>
      <c r="R39" s="308"/>
      <c r="S39" s="349"/>
      <c r="T39" s="349"/>
      <c r="U39" s="90" t="str">
        <f>IF(ISERROR(VLOOKUP($T39, 'Reference data'!$J$2:$K$139, 2, FALSE)),"-",VLOOKUP($T39, 'Reference data'!$J$2:$K$139, 2, FALSE))</f>
        <v>-</v>
      </c>
      <c r="V39" s="308"/>
      <c r="W39" s="308"/>
      <c r="X39" s="312"/>
      <c r="Y39" s="313"/>
      <c r="Z39" s="228"/>
      <c r="AA39" s="352"/>
      <c r="AB39" s="82"/>
      <c r="AC39" s="71"/>
      <c r="AD39" s="70"/>
      <c r="AE39" s="226" t="s">
        <v>278</v>
      </c>
      <c r="AF39" s="230" t="s">
        <v>77</v>
      </c>
    </row>
    <row r="40" spans="2:32" ht="13" x14ac:dyDescent="0.3">
      <c r="B40" s="346" t="str">
        <f>IF(C40="","Skip",IF(AND(Validator!J534=TRUE,Validator!J34=TRUE,Validator!J284,Validator!J284=TRUE,Validator!J784=TRUE,Validator!J1034=TRUE,Validator!J1284=TRUE),"Valid","Invalid"))</f>
        <v>Skip</v>
      </c>
      <c r="C40" s="69"/>
      <c r="D40" s="407"/>
      <c r="E40" s="408"/>
      <c r="F40" s="519"/>
      <c r="G40" s="205"/>
      <c r="H40" s="519"/>
      <c r="I40" s="194"/>
      <c r="J40" s="414"/>
      <c r="K40" s="395"/>
      <c r="L40" s="412"/>
      <c r="M40" s="310"/>
      <c r="N40" s="413"/>
      <c r="O40" s="398" t="s">
        <v>278</v>
      </c>
      <c r="P40" s="399" t="s">
        <v>77</v>
      </c>
      <c r="Q40" s="348"/>
      <c r="R40" s="308"/>
      <c r="S40" s="349"/>
      <c r="T40" s="349"/>
      <c r="U40" s="90" t="str">
        <f>IF(ISERROR(VLOOKUP($T40, 'Reference data'!$J$2:$K$139, 2, FALSE)),"-",VLOOKUP($T40, 'Reference data'!$J$2:$K$139, 2, FALSE))</f>
        <v>-</v>
      </c>
      <c r="V40" s="308"/>
      <c r="W40" s="308"/>
      <c r="X40" s="312"/>
      <c r="Y40" s="313"/>
      <c r="Z40" s="228"/>
      <c r="AA40" s="352"/>
      <c r="AB40" s="82"/>
      <c r="AC40" s="71"/>
      <c r="AD40" s="70"/>
      <c r="AE40" s="226" t="s">
        <v>278</v>
      </c>
      <c r="AF40" s="230" t="s">
        <v>77</v>
      </c>
    </row>
    <row r="41" spans="2:32" ht="13" x14ac:dyDescent="0.3">
      <c r="B41" s="346" t="str">
        <f>IF(C41="","Skip",IF(AND(Validator!J535=TRUE,Validator!J35=TRUE,Validator!J285,Validator!J285=TRUE,Validator!J785=TRUE,Validator!J1035=TRUE,Validator!J1285=TRUE),"Valid","Invalid"))</f>
        <v>Skip</v>
      </c>
      <c r="C41" s="69"/>
      <c r="D41" s="407"/>
      <c r="E41" s="408"/>
      <c r="F41" s="519"/>
      <c r="G41" s="205"/>
      <c r="H41" s="519"/>
      <c r="I41" s="194"/>
      <c r="J41" s="414"/>
      <c r="K41" s="395"/>
      <c r="L41" s="412"/>
      <c r="M41" s="310"/>
      <c r="N41" s="413"/>
      <c r="O41" s="398" t="s">
        <v>278</v>
      </c>
      <c r="P41" s="399" t="s">
        <v>77</v>
      </c>
      <c r="Q41" s="348"/>
      <c r="R41" s="308"/>
      <c r="S41" s="349"/>
      <c r="T41" s="349"/>
      <c r="U41" s="90" t="str">
        <f>IF(ISERROR(VLOOKUP($T41, 'Reference data'!$J$2:$K$139, 2, FALSE)),"-",VLOOKUP($T41, 'Reference data'!$J$2:$K$139, 2, FALSE))</f>
        <v>-</v>
      </c>
      <c r="V41" s="308"/>
      <c r="W41" s="308"/>
      <c r="X41" s="312"/>
      <c r="Y41" s="313"/>
      <c r="Z41" s="228"/>
      <c r="AA41" s="352"/>
      <c r="AB41" s="82"/>
      <c r="AC41" s="71"/>
      <c r="AD41" s="70"/>
      <c r="AE41" s="226" t="s">
        <v>278</v>
      </c>
      <c r="AF41" s="230" t="s">
        <v>77</v>
      </c>
    </row>
    <row r="42" spans="2:32" ht="13" x14ac:dyDescent="0.3">
      <c r="B42" s="346" t="str">
        <f>IF(C42="","Skip",IF(AND(Validator!J536=TRUE,Validator!J36=TRUE,Validator!J286,Validator!J286=TRUE,Validator!J786=TRUE,Validator!J1036=TRUE,Validator!J1286=TRUE),"Valid","Invalid"))</f>
        <v>Skip</v>
      </c>
      <c r="C42" s="69"/>
      <c r="D42" s="407"/>
      <c r="E42" s="408"/>
      <c r="F42" s="519"/>
      <c r="G42" s="205"/>
      <c r="H42" s="519"/>
      <c r="I42" s="194"/>
      <c r="J42" s="414"/>
      <c r="K42" s="395"/>
      <c r="L42" s="412"/>
      <c r="M42" s="310"/>
      <c r="N42" s="413"/>
      <c r="O42" s="398" t="s">
        <v>278</v>
      </c>
      <c r="P42" s="399" t="s">
        <v>77</v>
      </c>
      <c r="Q42" s="348"/>
      <c r="R42" s="308"/>
      <c r="S42" s="349"/>
      <c r="T42" s="349"/>
      <c r="U42" s="90" t="str">
        <f>IF(ISERROR(VLOOKUP($T42, 'Reference data'!$J$2:$K$139, 2, FALSE)),"-",VLOOKUP($T42, 'Reference data'!$J$2:$K$139, 2, FALSE))</f>
        <v>-</v>
      </c>
      <c r="V42" s="308"/>
      <c r="W42" s="308"/>
      <c r="X42" s="312"/>
      <c r="Y42" s="313"/>
      <c r="Z42" s="228"/>
      <c r="AA42" s="352"/>
      <c r="AB42" s="82"/>
      <c r="AC42" s="71"/>
      <c r="AD42" s="70"/>
      <c r="AE42" s="226" t="s">
        <v>278</v>
      </c>
      <c r="AF42" s="230" t="s">
        <v>77</v>
      </c>
    </row>
    <row r="43" spans="2:32" ht="13" x14ac:dyDescent="0.3">
      <c r="B43" s="346" t="str">
        <f>IF(C43="","Skip",IF(AND(Validator!J537=TRUE,Validator!J37=TRUE,Validator!J287,Validator!J287=TRUE,Validator!J787=TRUE,Validator!J1037=TRUE,Validator!J1287=TRUE),"Valid","Invalid"))</f>
        <v>Skip</v>
      </c>
      <c r="C43" s="69"/>
      <c r="D43" s="407"/>
      <c r="E43" s="408"/>
      <c r="F43" s="519"/>
      <c r="G43" s="205"/>
      <c r="H43" s="519"/>
      <c r="I43" s="194"/>
      <c r="J43" s="414"/>
      <c r="K43" s="395"/>
      <c r="L43" s="412"/>
      <c r="M43" s="310"/>
      <c r="N43" s="413"/>
      <c r="O43" s="398" t="s">
        <v>278</v>
      </c>
      <c r="P43" s="399" t="s">
        <v>77</v>
      </c>
      <c r="Q43" s="348"/>
      <c r="R43" s="308"/>
      <c r="S43" s="349"/>
      <c r="T43" s="349"/>
      <c r="U43" s="90" t="str">
        <f>IF(ISERROR(VLOOKUP($T43, 'Reference data'!$J$2:$K$139, 2, FALSE)),"-",VLOOKUP($T43, 'Reference data'!$J$2:$K$139, 2, FALSE))</f>
        <v>-</v>
      </c>
      <c r="V43" s="308"/>
      <c r="W43" s="308"/>
      <c r="X43" s="312"/>
      <c r="Y43" s="313"/>
      <c r="Z43" s="228"/>
      <c r="AA43" s="352"/>
      <c r="AB43" s="82"/>
      <c r="AC43" s="71"/>
      <c r="AD43" s="70"/>
      <c r="AE43" s="226" t="s">
        <v>278</v>
      </c>
      <c r="AF43" s="230" t="s">
        <v>77</v>
      </c>
    </row>
    <row r="44" spans="2:32" ht="13" x14ac:dyDescent="0.3">
      <c r="B44" s="346" t="str">
        <f>IF(C44="","Skip",IF(AND(Validator!J538=TRUE,Validator!J38=TRUE,Validator!J288,Validator!J288=TRUE,Validator!J788=TRUE,Validator!J1038=TRUE,Validator!J1288=TRUE),"Valid","Invalid"))</f>
        <v>Skip</v>
      </c>
      <c r="C44" s="69"/>
      <c r="D44" s="407"/>
      <c r="E44" s="408"/>
      <c r="F44" s="519"/>
      <c r="G44" s="205"/>
      <c r="H44" s="519"/>
      <c r="I44" s="194"/>
      <c r="J44" s="414"/>
      <c r="K44" s="395"/>
      <c r="L44" s="412"/>
      <c r="M44" s="310"/>
      <c r="N44" s="413"/>
      <c r="O44" s="398" t="s">
        <v>278</v>
      </c>
      <c r="P44" s="399" t="s">
        <v>77</v>
      </c>
      <c r="Q44" s="348"/>
      <c r="R44" s="308"/>
      <c r="S44" s="349"/>
      <c r="T44" s="349"/>
      <c r="U44" s="90" t="str">
        <f>IF(ISERROR(VLOOKUP($T44, 'Reference data'!$J$2:$K$139, 2, FALSE)),"-",VLOOKUP($T44, 'Reference data'!$J$2:$K$139, 2, FALSE))</f>
        <v>-</v>
      </c>
      <c r="V44" s="308"/>
      <c r="W44" s="308"/>
      <c r="X44" s="312"/>
      <c r="Y44" s="313"/>
      <c r="Z44" s="228"/>
      <c r="AA44" s="352"/>
      <c r="AB44" s="82"/>
      <c r="AC44" s="71"/>
      <c r="AD44" s="70"/>
      <c r="AE44" s="226" t="s">
        <v>278</v>
      </c>
      <c r="AF44" s="230" t="s">
        <v>77</v>
      </c>
    </row>
    <row r="45" spans="2:32" ht="13" x14ac:dyDescent="0.3">
      <c r="B45" s="346" t="str">
        <f>IF(C45="","Skip",IF(AND(Validator!J539=TRUE,Validator!J39=TRUE,Validator!J289,Validator!J289=TRUE,Validator!J789=TRUE,Validator!J1039=TRUE,Validator!J1289=TRUE),"Valid","Invalid"))</f>
        <v>Skip</v>
      </c>
      <c r="C45" s="69"/>
      <c r="D45" s="407"/>
      <c r="E45" s="408"/>
      <c r="F45" s="519"/>
      <c r="G45" s="205"/>
      <c r="H45" s="519"/>
      <c r="I45" s="194"/>
      <c r="J45" s="414"/>
      <c r="K45" s="395"/>
      <c r="L45" s="412"/>
      <c r="M45" s="310"/>
      <c r="N45" s="413"/>
      <c r="O45" s="398" t="s">
        <v>278</v>
      </c>
      <c r="P45" s="399" t="s">
        <v>77</v>
      </c>
      <c r="Q45" s="348"/>
      <c r="R45" s="308"/>
      <c r="S45" s="349"/>
      <c r="T45" s="349"/>
      <c r="U45" s="90" t="str">
        <f>IF(ISERROR(VLOOKUP($T45, 'Reference data'!$J$2:$K$139, 2, FALSE)),"-",VLOOKUP($T45, 'Reference data'!$J$2:$K$139, 2, FALSE))</f>
        <v>-</v>
      </c>
      <c r="V45" s="308"/>
      <c r="W45" s="308"/>
      <c r="X45" s="312"/>
      <c r="Y45" s="313"/>
      <c r="Z45" s="228"/>
      <c r="AA45" s="352"/>
      <c r="AB45" s="82"/>
      <c r="AC45" s="71"/>
      <c r="AD45" s="70"/>
      <c r="AE45" s="226" t="s">
        <v>278</v>
      </c>
      <c r="AF45" s="230" t="s">
        <v>77</v>
      </c>
    </row>
    <row r="46" spans="2:32" ht="13" x14ac:dyDescent="0.3">
      <c r="B46" s="346" t="str">
        <f>IF(C46="","Skip",IF(AND(Validator!J540=TRUE,Validator!J40=TRUE,Validator!J290,Validator!J290=TRUE,Validator!J790=TRUE,Validator!J1040=TRUE,Validator!J1290=TRUE),"Valid","Invalid"))</f>
        <v>Skip</v>
      </c>
      <c r="C46" s="69"/>
      <c r="D46" s="407"/>
      <c r="E46" s="408"/>
      <c r="F46" s="519"/>
      <c r="G46" s="205"/>
      <c r="H46" s="519"/>
      <c r="I46" s="194"/>
      <c r="J46" s="414"/>
      <c r="K46" s="395"/>
      <c r="L46" s="412"/>
      <c r="M46" s="310"/>
      <c r="N46" s="413"/>
      <c r="O46" s="398" t="s">
        <v>278</v>
      </c>
      <c r="P46" s="399" t="s">
        <v>77</v>
      </c>
      <c r="Q46" s="348"/>
      <c r="R46" s="308"/>
      <c r="S46" s="349"/>
      <c r="T46" s="349"/>
      <c r="U46" s="90" t="str">
        <f>IF(ISERROR(VLOOKUP($T46, 'Reference data'!$J$2:$K$139, 2, FALSE)),"-",VLOOKUP($T46, 'Reference data'!$J$2:$K$139, 2, FALSE))</f>
        <v>-</v>
      </c>
      <c r="V46" s="308"/>
      <c r="W46" s="308"/>
      <c r="X46" s="312"/>
      <c r="Y46" s="313"/>
      <c r="Z46" s="228"/>
      <c r="AA46" s="352"/>
      <c r="AB46" s="82"/>
      <c r="AC46" s="71"/>
      <c r="AD46" s="70"/>
      <c r="AE46" s="226" t="s">
        <v>278</v>
      </c>
      <c r="AF46" s="230" t="s">
        <v>77</v>
      </c>
    </row>
    <row r="47" spans="2:32" ht="13" x14ac:dyDescent="0.3">
      <c r="B47" s="346" t="str">
        <f>IF(C47="","Skip",IF(AND(Validator!J541=TRUE,Validator!J41=TRUE,Validator!J291,Validator!J291=TRUE,Validator!J791=TRUE,Validator!J1041=TRUE,Validator!J1291=TRUE),"Valid","Invalid"))</f>
        <v>Skip</v>
      </c>
      <c r="C47" s="69"/>
      <c r="D47" s="407"/>
      <c r="E47" s="408"/>
      <c r="F47" s="519"/>
      <c r="G47" s="205"/>
      <c r="H47" s="519"/>
      <c r="I47" s="194"/>
      <c r="J47" s="414"/>
      <c r="K47" s="395"/>
      <c r="L47" s="412"/>
      <c r="M47" s="310"/>
      <c r="N47" s="413"/>
      <c r="O47" s="398" t="s">
        <v>278</v>
      </c>
      <c r="P47" s="399" t="s">
        <v>77</v>
      </c>
      <c r="Q47" s="348"/>
      <c r="R47" s="308"/>
      <c r="S47" s="349"/>
      <c r="T47" s="349"/>
      <c r="U47" s="90" t="str">
        <f>IF(ISERROR(VLOOKUP($T47, 'Reference data'!$J$2:$K$139, 2, FALSE)),"-",VLOOKUP($T47, 'Reference data'!$J$2:$K$139, 2, FALSE))</f>
        <v>-</v>
      </c>
      <c r="V47" s="308"/>
      <c r="W47" s="308"/>
      <c r="X47" s="312"/>
      <c r="Y47" s="313"/>
      <c r="Z47" s="228"/>
      <c r="AA47" s="352"/>
      <c r="AB47" s="82"/>
      <c r="AC47" s="71"/>
      <c r="AD47" s="70"/>
      <c r="AE47" s="226" t="s">
        <v>278</v>
      </c>
      <c r="AF47" s="230" t="s">
        <v>77</v>
      </c>
    </row>
    <row r="48" spans="2:32" ht="13" x14ac:dyDescent="0.3">
      <c r="B48" s="346" t="str">
        <f>IF(C48="","Skip",IF(AND(Validator!J542=TRUE,Validator!J42=TRUE,Validator!J292,Validator!J292=TRUE,Validator!J792=TRUE,Validator!J1042=TRUE,Validator!J1292=TRUE),"Valid","Invalid"))</f>
        <v>Skip</v>
      </c>
      <c r="C48" s="69"/>
      <c r="D48" s="407"/>
      <c r="E48" s="408"/>
      <c r="F48" s="519"/>
      <c r="G48" s="205"/>
      <c r="H48" s="519"/>
      <c r="I48" s="194"/>
      <c r="J48" s="414"/>
      <c r="K48" s="395"/>
      <c r="L48" s="412"/>
      <c r="M48" s="310"/>
      <c r="N48" s="413"/>
      <c r="O48" s="398" t="s">
        <v>278</v>
      </c>
      <c r="P48" s="399" t="s">
        <v>77</v>
      </c>
      <c r="Q48" s="348"/>
      <c r="R48" s="308"/>
      <c r="S48" s="349"/>
      <c r="T48" s="349"/>
      <c r="U48" s="90" t="str">
        <f>IF(ISERROR(VLOOKUP($T48, 'Reference data'!$J$2:$K$139, 2, FALSE)),"-",VLOOKUP($T48, 'Reference data'!$J$2:$K$139, 2, FALSE))</f>
        <v>-</v>
      </c>
      <c r="V48" s="308"/>
      <c r="W48" s="308"/>
      <c r="X48" s="312"/>
      <c r="Y48" s="313"/>
      <c r="Z48" s="228"/>
      <c r="AA48" s="352"/>
      <c r="AB48" s="82"/>
      <c r="AC48" s="71"/>
      <c r="AD48" s="70"/>
      <c r="AE48" s="226" t="s">
        <v>278</v>
      </c>
      <c r="AF48" s="230" t="s">
        <v>77</v>
      </c>
    </row>
    <row r="49" spans="2:32" ht="13" x14ac:dyDescent="0.3">
      <c r="B49" s="346" t="str">
        <f>IF(C49="","Skip",IF(AND(Validator!J543=TRUE,Validator!J43=TRUE,Validator!J293,Validator!J293=TRUE,Validator!J793=TRUE,Validator!J1043=TRUE,Validator!J1293=TRUE),"Valid","Invalid"))</f>
        <v>Skip</v>
      </c>
      <c r="C49" s="69"/>
      <c r="D49" s="407"/>
      <c r="E49" s="408"/>
      <c r="F49" s="519"/>
      <c r="G49" s="205"/>
      <c r="H49" s="519"/>
      <c r="I49" s="194"/>
      <c r="J49" s="414"/>
      <c r="K49" s="395"/>
      <c r="L49" s="412"/>
      <c r="M49" s="310"/>
      <c r="N49" s="413"/>
      <c r="O49" s="398" t="s">
        <v>278</v>
      </c>
      <c r="P49" s="399" t="s">
        <v>77</v>
      </c>
      <c r="Q49" s="348"/>
      <c r="R49" s="308"/>
      <c r="S49" s="349"/>
      <c r="T49" s="349"/>
      <c r="U49" s="90" t="str">
        <f>IF(ISERROR(VLOOKUP($T49, 'Reference data'!$J$2:$K$139, 2, FALSE)),"-",VLOOKUP($T49, 'Reference data'!$J$2:$K$139, 2, FALSE))</f>
        <v>-</v>
      </c>
      <c r="V49" s="308"/>
      <c r="W49" s="308"/>
      <c r="X49" s="312"/>
      <c r="Y49" s="313"/>
      <c r="Z49" s="228"/>
      <c r="AA49" s="352"/>
      <c r="AB49" s="82"/>
      <c r="AC49" s="71"/>
      <c r="AD49" s="70"/>
      <c r="AE49" s="226" t="s">
        <v>278</v>
      </c>
      <c r="AF49" s="230" t="s">
        <v>77</v>
      </c>
    </row>
    <row r="50" spans="2:32" ht="13" x14ac:dyDescent="0.3">
      <c r="B50" s="346" t="str">
        <f>IF(C50="","Skip",IF(AND(Validator!J544=TRUE,Validator!J44=TRUE,Validator!J294,Validator!J294=TRUE,Validator!J794=TRUE,Validator!J1044=TRUE,Validator!J1294=TRUE),"Valid","Invalid"))</f>
        <v>Skip</v>
      </c>
      <c r="C50" s="69"/>
      <c r="D50" s="407"/>
      <c r="E50" s="408"/>
      <c r="F50" s="519"/>
      <c r="G50" s="205"/>
      <c r="H50" s="519"/>
      <c r="I50" s="194"/>
      <c r="J50" s="414"/>
      <c r="K50" s="395"/>
      <c r="L50" s="412"/>
      <c r="M50" s="310"/>
      <c r="N50" s="413"/>
      <c r="O50" s="398" t="s">
        <v>278</v>
      </c>
      <c r="P50" s="399" t="s">
        <v>77</v>
      </c>
      <c r="Q50" s="348"/>
      <c r="R50" s="308"/>
      <c r="S50" s="349"/>
      <c r="T50" s="349"/>
      <c r="U50" s="90" t="str">
        <f>IF(ISERROR(VLOOKUP($T50, 'Reference data'!$J$2:$K$139, 2, FALSE)),"-",VLOOKUP($T50, 'Reference data'!$J$2:$K$139, 2, FALSE))</f>
        <v>-</v>
      </c>
      <c r="V50" s="308"/>
      <c r="W50" s="308"/>
      <c r="X50" s="312"/>
      <c r="Y50" s="313"/>
      <c r="Z50" s="228"/>
      <c r="AA50" s="352"/>
      <c r="AB50" s="82"/>
      <c r="AC50" s="71"/>
      <c r="AD50" s="70"/>
      <c r="AE50" s="226" t="s">
        <v>278</v>
      </c>
      <c r="AF50" s="230" t="s">
        <v>77</v>
      </c>
    </row>
    <row r="51" spans="2:32" ht="13" x14ac:dyDescent="0.3">
      <c r="B51" s="346" t="str">
        <f>IF(C51="","Skip",IF(AND(Validator!J545=TRUE,Validator!J45=TRUE,Validator!J295,Validator!J295=TRUE,Validator!J795=TRUE,Validator!J1045=TRUE,Validator!J1295=TRUE),"Valid","Invalid"))</f>
        <v>Skip</v>
      </c>
      <c r="C51" s="69"/>
      <c r="D51" s="407"/>
      <c r="E51" s="408"/>
      <c r="F51" s="519"/>
      <c r="G51" s="205"/>
      <c r="H51" s="519"/>
      <c r="I51" s="194"/>
      <c r="J51" s="414"/>
      <c r="K51" s="395"/>
      <c r="L51" s="412"/>
      <c r="M51" s="310"/>
      <c r="N51" s="413"/>
      <c r="O51" s="398" t="s">
        <v>278</v>
      </c>
      <c r="P51" s="399" t="s">
        <v>77</v>
      </c>
      <c r="Q51" s="348"/>
      <c r="R51" s="308"/>
      <c r="S51" s="349"/>
      <c r="T51" s="349"/>
      <c r="U51" s="90" t="str">
        <f>IF(ISERROR(VLOOKUP($T51, 'Reference data'!$J$2:$K$139, 2, FALSE)),"-",VLOOKUP($T51, 'Reference data'!$J$2:$K$139, 2, FALSE))</f>
        <v>-</v>
      </c>
      <c r="V51" s="308"/>
      <c r="W51" s="308"/>
      <c r="X51" s="312"/>
      <c r="Y51" s="313"/>
      <c r="Z51" s="228"/>
      <c r="AA51" s="352"/>
      <c r="AB51" s="82"/>
      <c r="AC51" s="71"/>
      <c r="AD51" s="70"/>
      <c r="AE51" s="226" t="s">
        <v>278</v>
      </c>
      <c r="AF51" s="230" t="s">
        <v>77</v>
      </c>
    </row>
    <row r="52" spans="2:32" ht="13" x14ac:dyDescent="0.3">
      <c r="B52" s="346" t="str">
        <f>IF(C52="","Skip",IF(AND(Validator!J546=TRUE,Validator!J46=TRUE,Validator!J296,Validator!J296=TRUE,Validator!J796=TRUE,Validator!J1046=TRUE,Validator!J1296=TRUE),"Valid","Invalid"))</f>
        <v>Skip</v>
      </c>
      <c r="C52" s="69"/>
      <c r="D52" s="407"/>
      <c r="E52" s="408"/>
      <c r="F52" s="519"/>
      <c r="G52" s="205"/>
      <c r="H52" s="519"/>
      <c r="I52" s="194"/>
      <c r="J52" s="414"/>
      <c r="K52" s="395"/>
      <c r="L52" s="412"/>
      <c r="M52" s="310"/>
      <c r="N52" s="413"/>
      <c r="O52" s="398" t="s">
        <v>278</v>
      </c>
      <c r="P52" s="399" t="s">
        <v>77</v>
      </c>
      <c r="Q52" s="348"/>
      <c r="R52" s="308"/>
      <c r="S52" s="349"/>
      <c r="T52" s="349"/>
      <c r="U52" s="90" t="str">
        <f>IF(ISERROR(VLOOKUP($T52, 'Reference data'!$J$2:$K$139, 2, FALSE)),"-",VLOOKUP($T52, 'Reference data'!$J$2:$K$139, 2, FALSE))</f>
        <v>-</v>
      </c>
      <c r="V52" s="308"/>
      <c r="W52" s="308"/>
      <c r="X52" s="312"/>
      <c r="Y52" s="313"/>
      <c r="Z52" s="228"/>
      <c r="AA52" s="352"/>
      <c r="AB52" s="82"/>
      <c r="AC52" s="71"/>
      <c r="AD52" s="70"/>
      <c r="AE52" s="226" t="s">
        <v>278</v>
      </c>
      <c r="AF52" s="230" t="s">
        <v>77</v>
      </c>
    </row>
    <row r="53" spans="2:32" ht="13" x14ac:dyDescent="0.3">
      <c r="B53" s="346" t="str">
        <f>IF(C53="","Skip",IF(AND(Validator!J547=TRUE,Validator!J47=TRUE,Validator!J297,Validator!J297=TRUE,Validator!J797=TRUE,Validator!J1047=TRUE,Validator!J1297=TRUE),"Valid","Invalid"))</f>
        <v>Skip</v>
      </c>
      <c r="C53" s="69"/>
      <c r="D53" s="407"/>
      <c r="E53" s="408"/>
      <c r="F53" s="519"/>
      <c r="G53" s="205"/>
      <c r="H53" s="519"/>
      <c r="I53" s="194"/>
      <c r="J53" s="414"/>
      <c r="K53" s="395"/>
      <c r="L53" s="412"/>
      <c r="M53" s="310"/>
      <c r="N53" s="413"/>
      <c r="O53" s="398" t="s">
        <v>278</v>
      </c>
      <c r="P53" s="399" t="s">
        <v>77</v>
      </c>
      <c r="Q53" s="348"/>
      <c r="R53" s="308"/>
      <c r="S53" s="349"/>
      <c r="T53" s="349"/>
      <c r="U53" s="90" t="str">
        <f>IF(ISERROR(VLOOKUP($T53, 'Reference data'!$J$2:$K$139, 2, FALSE)),"-",VLOOKUP($T53, 'Reference data'!$J$2:$K$139, 2, FALSE))</f>
        <v>-</v>
      </c>
      <c r="V53" s="308"/>
      <c r="W53" s="308"/>
      <c r="X53" s="312"/>
      <c r="Y53" s="313"/>
      <c r="Z53" s="228"/>
      <c r="AA53" s="352"/>
      <c r="AB53" s="82"/>
      <c r="AC53" s="71"/>
      <c r="AD53" s="70"/>
      <c r="AE53" s="226" t="s">
        <v>278</v>
      </c>
      <c r="AF53" s="230" t="s">
        <v>77</v>
      </c>
    </row>
    <row r="54" spans="2:32" ht="13" x14ac:dyDescent="0.3">
      <c r="B54" s="346" t="str">
        <f>IF(C54="","Skip",IF(AND(Validator!J548=TRUE,Validator!J48=TRUE,Validator!J298,Validator!J298=TRUE,Validator!J798=TRUE,Validator!J1048=TRUE,Validator!J1298=TRUE),"Valid","Invalid"))</f>
        <v>Skip</v>
      </c>
      <c r="C54" s="69"/>
      <c r="D54" s="407"/>
      <c r="E54" s="408"/>
      <c r="F54" s="519"/>
      <c r="G54" s="205"/>
      <c r="H54" s="519"/>
      <c r="I54" s="194"/>
      <c r="J54" s="414"/>
      <c r="K54" s="395"/>
      <c r="L54" s="412"/>
      <c r="M54" s="310"/>
      <c r="N54" s="413"/>
      <c r="O54" s="398" t="s">
        <v>278</v>
      </c>
      <c r="P54" s="399" t="s">
        <v>77</v>
      </c>
      <c r="Q54" s="348"/>
      <c r="R54" s="308"/>
      <c r="S54" s="349"/>
      <c r="T54" s="349"/>
      <c r="U54" s="90" t="str">
        <f>IF(ISERROR(VLOOKUP($T54, 'Reference data'!$J$2:$K$139, 2, FALSE)),"-",VLOOKUP($T54, 'Reference data'!$J$2:$K$139, 2, FALSE))</f>
        <v>-</v>
      </c>
      <c r="V54" s="308"/>
      <c r="W54" s="308"/>
      <c r="X54" s="312"/>
      <c r="Y54" s="313"/>
      <c r="Z54" s="228"/>
      <c r="AA54" s="352"/>
      <c r="AB54" s="82"/>
      <c r="AC54" s="71"/>
      <c r="AD54" s="70"/>
      <c r="AE54" s="226" t="s">
        <v>278</v>
      </c>
      <c r="AF54" s="230" t="s">
        <v>77</v>
      </c>
    </row>
    <row r="55" spans="2:32" ht="13" x14ac:dyDescent="0.3">
      <c r="B55" s="346" t="str">
        <f>IF(C55="","Skip",IF(AND(Validator!J549=TRUE,Validator!J49=TRUE,Validator!J299,Validator!J299=TRUE,Validator!J799=TRUE,Validator!J1049=TRUE,Validator!J1299=TRUE),"Valid","Invalid"))</f>
        <v>Skip</v>
      </c>
      <c r="C55" s="69"/>
      <c r="D55" s="407"/>
      <c r="E55" s="408"/>
      <c r="F55" s="519"/>
      <c r="G55" s="205"/>
      <c r="H55" s="519"/>
      <c r="I55" s="194"/>
      <c r="J55" s="414"/>
      <c r="K55" s="395"/>
      <c r="L55" s="412"/>
      <c r="M55" s="310"/>
      <c r="N55" s="413"/>
      <c r="O55" s="398" t="s">
        <v>278</v>
      </c>
      <c r="P55" s="399" t="s">
        <v>77</v>
      </c>
      <c r="Q55" s="348"/>
      <c r="R55" s="308"/>
      <c r="S55" s="349"/>
      <c r="T55" s="349"/>
      <c r="U55" s="90" t="str">
        <f>IF(ISERROR(VLOOKUP($T55, 'Reference data'!$J$2:$K$139, 2, FALSE)),"-",VLOOKUP($T55, 'Reference data'!$J$2:$K$139, 2, FALSE))</f>
        <v>-</v>
      </c>
      <c r="V55" s="308"/>
      <c r="W55" s="308"/>
      <c r="X55" s="312"/>
      <c r="Y55" s="313"/>
      <c r="Z55" s="228"/>
      <c r="AA55" s="352"/>
      <c r="AB55" s="82"/>
      <c r="AC55" s="71"/>
      <c r="AD55" s="70"/>
      <c r="AE55" s="226" t="s">
        <v>278</v>
      </c>
      <c r="AF55" s="230" t="s">
        <v>77</v>
      </c>
    </row>
    <row r="56" spans="2:32" ht="13" x14ac:dyDescent="0.3">
      <c r="B56" s="346" t="str">
        <f>IF(C56="","Skip",IF(AND(Validator!J550=TRUE,Validator!J50=TRUE,Validator!J300,Validator!J300=TRUE,Validator!J800=TRUE,Validator!J1050=TRUE,Validator!J1300=TRUE),"Valid","Invalid"))</f>
        <v>Skip</v>
      </c>
      <c r="C56" s="69"/>
      <c r="D56" s="407"/>
      <c r="E56" s="408"/>
      <c r="F56" s="519"/>
      <c r="G56" s="205"/>
      <c r="H56" s="519"/>
      <c r="I56" s="194"/>
      <c r="J56" s="414"/>
      <c r="K56" s="395"/>
      <c r="L56" s="412"/>
      <c r="M56" s="310"/>
      <c r="N56" s="413"/>
      <c r="O56" s="398" t="s">
        <v>278</v>
      </c>
      <c r="P56" s="399" t="s">
        <v>77</v>
      </c>
      <c r="Q56" s="348"/>
      <c r="R56" s="308"/>
      <c r="S56" s="349"/>
      <c r="T56" s="349"/>
      <c r="U56" s="90" t="str">
        <f>IF(ISERROR(VLOOKUP($T56, 'Reference data'!$J$2:$K$139, 2, FALSE)),"-",VLOOKUP($T56, 'Reference data'!$J$2:$K$139, 2, FALSE))</f>
        <v>-</v>
      </c>
      <c r="V56" s="308"/>
      <c r="W56" s="308"/>
      <c r="X56" s="312"/>
      <c r="Y56" s="313"/>
      <c r="Z56" s="228"/>
      <c r="AA56" s="352"/>
      <c r="AB56" s="82"/>
      <c r="AC56" s="71"/>
      <c r="AD56" s="70"/>
      <c r="AE56" s="226" t="s">
        <v>278</v>
      </c>
      <c r="AF56" s="230" t="s">
        <v>77</v>
      </c>
    </row>
    <row r="57" spans="2:32" ht="13" x14ac:dyDescent="0.3">
      <c r="B57" s="346" t="str">
        <f>IF(C57="","Skip",IF(AND(Validator!J551=TRUE,Validator!J51=TRUE,Validator!J301,Validator!J301=TRUE,Validator!J801=TRUE,Validator!J1051=TRUE,Validator!J1301=TRUE),"Valid","Invalid"))</f>
        <v>Skip</v>
      </c>
      <c r="C57" s="69"/>
      <c r="D57" s="407"/>
      <c r="E57" s="408"/>
      <c r="F57" s="519"/>
      <c r="G57" s="205"/>
      <c r="H57" s="519"/>
      <c r="I57" s="194"/>
      <c r="J57" s="414"/>
      <c r="K57" s="395"/>
      <c r="L57" s="412"/>
      <c r="M57" s="310"/>
      <c r="N57" s="413"/>
      <c r="O57" s="398" t="s">
        <v>278</v>
      </c>
      <c r="P57" s="399" t="s">
        <v>77</v>
      </c>
      <c r="Q57" s="348"/>
      <c r="R57" s="308"/>
      <c r="S57" s="349"/>
      <c r="T57" s="349"/>
      <c r="U57" s="90" t="str">
        <f>IF(ISERROR(VLOOKUP($T57, 'Reference data'!$J$2:$K$139, 2, FALSE)),"-",VLOOKUP($T57, 'Reference data'!$J$2:$K$139, 2, FALSE))</f>
        <v>-</v>
      </c>
      <c r="V57" s="308"/>
      <c r="W57" s="308"/>
      <c r="X57" s="312"/>
      <c r="Y57" s="313"/>
      <c r="Z57" s="228"/>
      <c r="AA57" s="352"/>
      <c r="AB57" s="82"/>
      <c r="AC57" s="71"/>
      <c r="AD57" s="70"/>
      <c r="AE57" s="226" t="s">
        <v>278</v>
      </c>
      <c r="AF57" s="230" t="s">
        <v>77</v>
      </c>
    </row>
    <row r="58" spans="2:32" ht="13" x14ac:dyDescent="0.3">
      <c r="B58" s="346" t="str">
        <f>IF(C58="","Skip",IF(AND(Validator!J552=TRUE,Validator!J52=TRUE,Validator!J302,Validator!J302=TRUE,Validator!J802=TRUE,Validator!J1052=TRUE,Validator!J1302=TRUE),"Valid","Invalid"))</f>
        <v>Skip</v>
      </c>
      <c r="C58" s="69"/>
      <c r="D58" s="407"/>
      <c r="E58" s="408"/>
      <c r="F58" s="519"/>
      <c r="G58" s="205"/>
      <c r="H58" s="519"/>
      <c r="I58" s="194"/>
      <c r="J58" s="414"/>
      <c r="K58" s="395"/>
      <c r="L58" s="412"/>
      <c r="M58" s="310"/>
      <c r="N58" s="413"/>
      <c r="O58" s="398" t="s">
        <v>278</v>
      </c>
      <c r="P58" s="399" t="s">
        <v>77</v>
      </c>
      <c r="Q58" s="348"/>
      <c r="R58" s="308"/>
      <c r="S58" s="349"/>
      <c r="T58" s="349"/>
      <c r="U58" s="90" t="str">
        <f>IF(ISERROR(VLOOKUP($T58, 'Reference data'!$J$2:$K$139, 2, FALSE)),"-",VLOOKUP($T58, 'Reference data'!$J$2:$K$139, 2, FALSE))</f>
        <v>-</v>
      </c>
      <c r="V58" s="308"/>
      <c r="W58" s="308"/>
      <c r="X58" s="312"/>
      <c r="Y58" s="313"/>
      <c r="Z58" s="228"/>
      <c r="AA58" s="352"/>
      <c r="AB58" s="82"/>
      <c r="AC58" s="71"/>
      <c r="AD58" s="70"/>
      <c r="AE58" s="226" t="s">
        <v>278</v>
      </c>
      <c r="AF58" s="230" t="s">
        <v>77</v>
      </c>
    </row>
    <row r="59" spans="2:32" ht="13" x14ac:dyDescent="0.3">
      <c r="B59" s="346" t="str">
        <f>IF(C59="","Skip",IF(AND(Validator!J553=TRUE,Validator!J53=TRUE,Validator!J303,Validator!J303=TRUE,Validator!J803=TRUE,Validator!J1053=TRUE,Validator!J1303=TRUE),"Valid","Invalid"))</f>
        <v>Skip</v>
      </c>
      <c r="C59" s="69"/>
      <c r="D59" s="407"/>
      <c r="E59" s="408"/>
      <c r="F59" s="519"/>
      <c r="G59" s="205"/>
      <c r="H59" s="519"/>
      <c r="I59" s="194"/>
      <c r="J59" s="414"/>
      <c r="K59" s="395"/>
      <c r="L59" s="412"/>
      <c r="M59" s="310"/>
      <c r="N59" s="413"/>
      <c r="O59" s="398" t="s">
        <v>278</v>
      </c>
      <c r="P59" s="399" t="s">
        <v>77</v>
      </c>
      <c r="Q59" s="348"/>
      <c r="R59" s="308"/>
      <c r="S59" s="349"/>
      <c r="T59" s="349"/>
      <c r="U59" s="90" t="str">
        <f>IF(ISERROR(VLOOKUP($T59, 'Reference data'!$J$2:$K$139, 2, FALSE)),"-",VLOOKUP($T59, 'Reference data'!$J$2:$K$139, 2, FALSE))</f>
        <v>-</v>
      </c>
      <c r="V59" s="308"/>
      <c r="W59" s="308"/>
      <c r="X59" s="312"/>
      <c r="Y59" s="313"/>
      <c r="Z59" s="228"/>
      <c r="AA59" s="352"/>
      <c r="AB59" s="82"/>
      <c r="AC59" s="71"/>
      <c r="AD59" s="70"/>
      <c r="AE59" s="226" t="s">
        <v>278</v>
      </c>
      <c r="AF59" s="230" t="s">
        <v>77</v>
      </c>
    </row>
    <row r="60" spans="2:32" ht="13" x14ac:dyDescent="0.3">
      <c r="B60" s="346" t="str">
        <f>IF(C60="","Skip",IF(AND(Validator!J554=TRUE,Validator!J54=TRUE,Validator!J304,Validator!J304=TRUE,Validator!J804=TRUE,Validator!J1054=TRUE,Validator!J1304=TRUE),"Valid","Invalid"))</f>
        <v>Skip</v>
      </c>
      <c r="C60" s="69"/>
      <c r="D60" s="407"/>
      <c r="E60" s="408"/>
      <c r="F60" s="519"/>
      <c r="G60" s="205"/>
      <c r="H60" s="519"/>
      <c r="I60" s="194"/>
      <c r="J60" s="414"/>
      <c r="K60" s="395"/>
      <c r="L60" s="412"/>
      <c r="M60" s="310"/>
      <c r="N60" s="413"/>
      <c r="O60" s="398" t="s">
        <v>278</v>
      </c>
      <c r="P60" s="399" t="s">
        <v>77</v>
      </c>
      <c r="Q60" s="348"/>
      <c r="R60" s="308"/>
      <c r="S60" s="349"/>
      <c r="T60" s="349"/>
      <c r="U60" s="90" t="str">
        <f>IF(ISERROR(VLOOKUP($T60, 'Reference data'!$J$2:$K$139, 2, FALSE)),"-",VLOOKUP($T60, 'Reference data'!$J$2:$K$139, 2, FALSE))</f>
        <v>-</v>
      </c>
      <c r="V60" s="308"/>
      <c r="W60" s="308"/>
      <c r="X60" s="312"/>
      <c r="Y60" s="313"/>
      <c r="Z60" s="228"/>
      <c r="AA60" s="352"/>
      <c r="AB60" s="82"/>
      <c r="AC60" s="71"/>
      <c r="AD60" s="70"/>
      <c r="AE60" s="226" t="s">
        <v>278</v>
      </c>
      <c r="AF60" s="230" t="s">
        <v>77</v>
      </c>
    </row>
    <row r="61" spans="2:32" ht="13" x14ac:dyDescent="0.3">
      <c r="B61" s="346" t="str">
        <f>IF(C61="","Skip",IF(AND(Validator!J555=TRUE,Validator!J55=TRUE,Validator!J305,Validator!J305=TRUE,Validator!J805=TRUE,Validator!J1055=TRUE,Validator!J1305=TRUE),"Valid","Invalid"))</f>
        <v>Skip</v>
      </c>
      <c r="C61" s="69"/>
      <c r="D61" s="407"/>
      <c r="E61" s="408"/>
      <c r="F61" s="519"/>
      <c r="G61" s="205"/>
      <c r="H61" s="519"/>
      <c r="I61" s="194"/>
      <c r="J61" s="414"/>
      <c r="K61" s="395"/>
      <c r="L61" s="412"/>
      <c r="M61" s="310"/>
      <c r="N61" s="413"/>
      <c r="O61" s="398" t="s">
        <v>278</v>
      </c>
      <c r="P61" s="399" t="s">
        <v>77</v>
      </c>
      <c r="Q61" s="348"/>
      <c r="R61" s="308"/>
      <c r="S61" s="349"/>
      <c r="T61" s="349"/>
      <c r="U61" s="90" t="str">
        <f>IF(ISERROR(VLOOKUP($T61, 'Reference data'!$J$2:$K$139, 2, FALSE)),"-",VLOOKUP($T61, 'Reference data'!$J$2:$K$139, 2, FALSE))</f>
        <v>-</v>
      </c>
      <c r="V61" s="308"/>
      <c r="W61" s="308"/>
      <c r="X61" s="312"/>
      <c r="Y61" s="313"/>
      <c r="Z61" s="228"/>
      <c r="AA61" s="352"/>
      <c r="AB61" s="82"/>
      <c r="AC61" s="71"/>
      <c r="AD61" s="70"/>
      <c r="AE61" s="226" t="s">
        <v>278</v>
      </c>
      <c r="AF61" s="230" t="s">
        <v>77</v>
      </c>
    </row>
    <row r="62" spans="2:32" ht="13" x14ac:dyDescent="0.3">
      <c r="B62" s="346" t="str">
        <f>IF(C62="","Skip",IF(AND(Validator!J556=TRUE,Validator!J56=TRUE,Validator!J306,Validator!J306=TRUE,Validator!J806=TRUE,Validator!J1056=TRUE,Validator!J1306=TRUE),"Valid","Invalid"))</f>
        <v>Skip</v>
      </c>
      <c r="C62" s="69"/>
      <c r="D62" s="407"/>
      <c r="E62" s="408"/>
      <c r="F62" s="519"/>
      <c r="G62" s="205"/>
      <c r="H62" s="519"/>
      <c r="I62" s="194"/>
      <c r="J62" s="414"/>
      <c r="K62" s="395"/>
      <c r="L62" s="412"/>
      <c r="M62" s="310"/>
      <c r="N62" s="413"/>
      <c r="O62" s="398" t="s">
        <v>278</v>
      </c>
      <c r="P62" s="399" t="s">
        <v>77</v>
      </c>
      <c r="Q62" s="348"/>
      <c r="R62" s="308"/>
      <c r="S62" s="349"/>
      <c r="T62" s="349"/>
      <c r="U62" s="90" t="str">
        <f>IF(ISERROR(VLOOKUP($T62, 'Reference data'!$J$2:$K$139, 2, FALSE)),"-",VLOOKUP($T62, 'Reference data'!$J$2:$K$139, 2, FALSE))</f>
        <v>-</v>
      </c>
      <c r="V62" s="308"/>
      <c r="W62" s="308"/>
      <c r="X62" s="312"/>
      <c r="Y62" s="313"/>
      <c r="Z62" s="228"/>
      <c r="AA62" s="352"/>
      <c r="AB62" s="82"/>
      <c r="AC62" s="71"/>
      <c r="AD62" s="70"/>
      <c r="AE62" s="226" t="s">
        <v>278</v>
      </c>
      <c r="AF62" s="230" t="s">
        <v>77</v>
      </c>
    </row>
    <row r="63" spans="2:32" ht="13" x14ac:dyDescent="0.3">
      <c r="B63" s="346" t="str">
        <f>IF(C63="","Skip",IF(AND(Validator!J557=TRUE,Validator!J57=TRUE,Validator!J307,Validator!J307=TRUE,Validator!J807=TRUE,Validator!J1057=TRUE,Validator!J1307=TRUE),"Valid","Invalid"))</f>
        <v>Skip</v>
      </c>
      <c r="C63" s="69"/>
      <c r="D63" s="407"/>
      <c r="E63" s="408"/>
      <c r="F63" s="519"/>
      <c r="G63" s="205"/>
      <c r="H63" s="519"/>
      <c r="I63" s="194"/>
      <c r="J63" s="414"/>
      <c r="K63" s="395"/>
      <c r="L63" s="412"/>
      <c r="M63" s="310"/>
      <c r="N63" s="413"/>
      <c r="O63" s="398" t="s">
        <v>278</v>
      </c>
      <c r="P63" s="399" t="s">
        <v>77</v>
      </c>
      <c r="Q63" s="348"/>
      <c r="R63" s="308"/>
      <c r="S63" s="349"/>
      <c r="T63" s="349"/>
      <c r="U63" s="90" t="str">
        <f>IF(ISERROR(VLOOKUP($T63, 'Reference data'!$J$2:$K$139, 2, FALSE)),"-",VLOOKUP($T63, 'Reference data'!$J$2:$K$139, 2, FALSE))</f>
        <v>-</v>
      </c>
      <c r="V63" s="308"/>
      <c r="W63" s="308"/>
      <c r="X63" s="312"/>
      <c r="Y63" s="313"/>
      <c r="Z63" s="228"/>
      <c r="AA63" s="352"/>
      <c r="AB63" s="82"/>
      <c r="AC63" s="71"/>
      <c r="AD63" s="70"/>
      <c r="AE63" s="226" t="s">
        <v>278</v>
      </c>
      <c r="AF63" s="230" t="s">
        <v>77</v>
      </c>
    </row>
    <row r="64" spans="2:32" ht="13" x14ac:dyDescent="0.3">
      <c r="B64" s="346" t="str">
        <f>IF(C64="","Skip",IF(AND(Validator!J558=TRUE,Validator!J58=TRUE,Validator!J308,Validator!J308=TRUE,Validator!J808=TRUE,Validator!J1058=TRUE,Validator!J1308=TRUE),"Valid","Invalid"))</f>
        <v>Skip</v>
      </c>
      <c r="C64" s="69"/>
      <c r="D64" s="407"/>
      <c r="E64" s="408"/>
      <c r="F64" s="519"/>
      <c r="G64" s="205"/>
      <c r="H64" s="519"/>
      <c r="I64" s="194"/>
      <c r="J64" s="414"/>
      <c r="K64" s="395"/>
      <c r="L64" s="412"/>
      <c r="M64" s="310"/>
      <c r="N64" s="413"/>
      <c r="O64" s="398" t="s">
        <v>278</v>
      </c>
      <c r="P64" s="399" t="s">
        <v>77</v>
      </c>
      <c r="Q64" s="348"/>
      <c r="R64" s="308"/>
      <c r="S64" s="349"/>
      <c r="T64" s="349"/>
      <c r="U64" s="90" t="str">
        <f>IF(ISERROR(VLOOKUP($T64, 'Reference data'!$J$2:$K$139, 2, FALSE)),"-",VLOOKUP($T64, 'Reference data'!$J$2:$K$139, 2, FALSE))</f>
        <v>-</v>
      </c>
      <c r="V64" s="308"/>
      <c r="W64" s="308"/>
      <c r="X64" s="312"/>
      <c r="Y64" s="313"/>
      <c r="Z64" s="228"/>
      <c r="AA64" s="352"/>
      <c r="AB64" s="82"/>
      <c r="AC64" s="71"/>
      <c r="AD64" s="70"/>
      <c r="AE64" s="226" t="s">
        <v>278</v>
      </c>
      <c r="AF64" s="230" t="s">
        <v>77</v>
      </c>
    </row>
    <row r="65" spans="2:32" ht="13" x14ac:dyDescent="0.3">
      <c r="B65" s="346" t="str">
        <f>IF(C65="","Skip",IF(AND(Validator!J559=TRUE,Validator!J59=TRUE,Validator!J309,Validator!J309=TRUE,Validator!J809=TRUE,Validator!J1059=TRUE,Validator!J1309=TRUE),"Valid","Invalid"))</f>
        <v>Skip</v>
      </c>
      <c r="C65" s="69"/>
      <c r="D65" s="407"/>
      <c r="E65" s="408"/>
      <c r="F65" s="519"/>
      <c r="G65" s="205"/>
      <c r="H65" s="519"/>
      <c r="I65" s="194"/>
      <c r="J65" s="414"/>
      <c r="K65" s="395"/>
      <c r="L65" s="412"/>
      <c r="M65" s="310"/>
      <c r="N65" s="413"/>
      <c r="O65" s="398" t="s">
        <v>278</v>
      </c>
      <c r="P65" s="399" t="s">
        <v>77</v>
      </c>
      <c r="Q65" s="348"/>
      <c r="R65" s="308"/>
      <c r="S65" s="349"/>
      <c r="T65" s="349"/>
      <c r="U65" s="90" t="str">
        <f>IF(ISERROR(VLOOKUP($T65, 'Reference data'!$J$2:$K$139, 2, FALSE)),"-",VLOOKUP($T65, 'Reference data'!$J$2:$K$139, 2, FALSE))</f>
        <v>-</v>
      </c>
      <c r="V65" s="308"/>
      <c r="W65" s="308"/>
      <c r="X65" s="312"/>
      <c r="Y65" s="313"/>
      <c r="Z65" s="228"/>
      <c r="AA65" s="352"/>
      <c r="AB65" s="82"/>
      <c r="AC65" s="71"/>
      <c r="AD65" s="70"/>
      <c r="AE65" s="226" t="s">
        <v>278</v>
      </c>
      <c r="AF65" s="230" t="s">
        <v>77</v>
      </c>
    </row>
    <row r="66" spans="2:32" ht="13" x14ac:dyDescent="0.3">
      <c r="B66" s="346" t="str">
        <f>IF(C66="","Skip",IF(AND(Validator!J560=TRUE,Validator!J60=TRUE,Validator!J310,Validator!J310=TRUE,Validator!J810=TRUE,Validator!J1060=TRUE,Validator!J1310=TRUE),"Valid","Invalid"))</f>
        <v>Skip</v>
      </c>
      <c r="C66" s="69"/>
      <c r="D66" s="407"/>
      <c r="E66" s="408"/>
      <c r="F66" s="519"/>
      <c r="G66" s="205"/>
      <c r="H66" s="519"/>
      <c r="I66" s="194"/>
      <c r="J66" s="414"/>
      <c r="K66" s="395"/>
      <c r="L66" s="412"/>
      <c r="M66" s="310"/>
      <c r="N66" s="413"/>
      <c r="O66" s="398" t="s">
        <v>278</v>
      </c>
      <c r="P66" s="399" t="s">
        <v>77</v>
      </c>
      <c r="Q66" s="348"/>
      <c r="R66" s="308"/>
      <c r="S66" s="349"/>
      <c r="T66" s="349"/>
      <c r="U66" s="90" t="str">
        <f>IF(ISERROR(VLOOKUP($T66, 'Reference data'!$J$2:$K$139, 2, FALSE)),"-",VLOOKUP($T66, 'Reference data'!$J$2:$K$139, 2, FALSE))</f>
        <v>-</v>
      </c>
      <c r="V66" s="308"/>
      <c r="W66" s="308"/>
      <c r="X66" s="312"/>
      <c r="Y66" s="313"/>
      <c r="Z66" s="228"/>
      <c r="AA66" s="352"/>
      <c r="AB66" s="82"/>
      <c r="AC66" s="71"/>
      <c r="AD66" s="70"/>
      <c r="AE66" s="226" t="s">
        <v>278</v>
      </c>
      <c r="AF66" s="230" t="s">
        <v>77</v>
      </c>
    </row>
    <row r="67" spans="2:32" ht="13" x14ac:dyDescent="0.3">
      <c r="B67" s="346" t="str">
        <f>IF(C67="","Skip",IF(AND(Validator!J561=TRUE,Validator!J61=TRUE,Validator!J311,Validator!J311=TRUE,Validator!J811=TRUE,Validator!J1061=TRUE,Validator!J1311=TRUE),"Valid","Invalid"))</f>
        <v>Skip</v>
      </c>
      <c r="C67" s="69"/>
      <c r="D67" s="407"/>
      <c r="E67" s="408"/>
      <c r="F67" s="519"/>
      <c r="G67" s="205"/>
      <c r="H67" s="519"/>
      <c r="I67" s="194"/>
      <c r="J67" s="414"/>
      <c r="K67" s="395"/>
      <c r="L67" s="412"/>
      <c r="M67" s="310"/>
      <c r="N67" s="413"/>
      <c r="O67" s="398" t="s">
        <v>278</v>
      </c>
      <c r="P67" s="399" t="s">
        <v>77</v>
      </c>
      <c r="Q67" s="348"/>
      <c r="R67" s="308"/>
      <c r="S67" s="349"/>
      <c r="T67" s="349"/>
      <c r="U67" s="90" t="str">
        <f>IF(ISERROR(VLOOKUP($T67, 'Reference data'!$J$2:$K$139, 2, FALSE)),"-",VLOOKUP($T67, 'Reference data'!$J$2:$K$139, 2, FALSE))</f>
        <v>-</v>
      </c>
      <c r="V67" s="308"/>
      <c r="W67" s="308"/>
      <c r="X67" s="312"/>
      <c r="Y67" s="313"/>
      <c r="Z67" s="228"/>
      <c r="AA67" s="352"/>
      <c r="AB67" s="82"/>
      <c r="AC67" s="71"/>
      <c r="AD67" s="70"/>
      <c r="AE67" s="226" t="s">
        <v>278</v>
      </c>
      <c r="AF67" s="230" t="s">
        <v>77</v>
      </c>
    </row>
    <row r="68" spans="2:32" ht="13" x14ac:dyDescent="0.3">
      <c r="B68" s="346" t="str">
        <f>IF(C68="","Skip",IF(AND(Validator!J562=TRUE,Validator!J62=TRUE,Validator!J312,Validator!J312=TRUE,Validator!J812=TRUE,Validator!J1062=TRUE,Validator!J1312=TRUE),"Valid","Invalid"))</f>
        <v>Skip</v>
      </c>
      <c r="C68" s="69"/>
      <c r="D68" s="407"/>
      <c r="E68" s="408"/>
      <c r="F68" s="519"/>
      <c r="G68" s="205"/>
      <c r="H68" s="519"/>
      <c r="I68" s="194"/>
      <c r="J68" s="414"/>
      <c r="K68" s="395"/>
      <c r="L68" s="412"/>
      <c r="M68" s="310"/>
      <c r="N68" s="413"/>
      <c r="O68" s="398" t="s">
        <v>278</v>
      </c>
      <c r="P68" s="399" t="s">
        <v>77</v>
      </c>
      <c r="Q68" s="348"/>
      <c r="R68" s="308"/>
      <c r="S68" s="349"/>
      <c r="T68" s="349"/>
      <c r="U68" s="90" t="str">
        <f>IF(ISERROR(VLOOKUP($T68, 'Reference data'!$J$2:$K$139, 2, FALSE)),"-",VLOOKUP($T68, 'Reference data'!$J$2:$K$139, 2, FALSE))</f>
        <v>-</v>
      </c>
      <c r="V68" s="308"/>
      <c r="W68" s="308"/>
      <c r="X68" s="312"/>
      <c r="Y68" s="313"/>
      <c r="Z68" s="228"/>
      <c r="AA68" s="352"/>
      <c r="AB68" s="82"/>
      <c r="AC68" s="71"/>
      <c r="AD68" s="70"/>
      <c r="AE68" s="226" t="s">
        <v>278</v>
      </c>
      <c r="AF68" s="230" t="s">
        <v>77</v>
      </c>
    </row>
    <row r="69" spans="2:32" ht="13" x14ac:dyDescent="0.3">
      <c r="B69" s="346" t="str">
        <f>IF(C69="","Skip",IF(AND(Validator!J563=TRUE,Validator!J63=TRUE,Validator!J313,Validator!J313=TRUE,Validator!J813=TRUE,Validator!J1063=TRUE,Validator!J1313=TRUE),"Valid","Invalid"))</f>
        <v>Skip</v>
      </c>
      <c r="C69" s="69"/>
      <c r="D69" s="407"/>
      <c r="E69" s="408"/>
      <c r="F69" s="519"/>
      <c r="G69" s="205"/>
      <c r="H69" s="519"/>
      <c r="I69" s="194"/>
      <c r="J69" s="414"/>
      <c r="K69" s="395"/>
      <c r="L69" s="412"/>
      <c r="M69" s="310"/>
      <c r="N69" s="413"/>
      <c r="O69" s="398" t="s">
        <v>278</v>
      </c>
      <c r="P69" s="399" t="s">
        <v>77</v>
      </c>
      <c r="Q69" s="348"/>
      <c r="R69" s="308"/>
      <c r="S69" s="349"/>
      <c r="T69" s="349"/>
      <c r="U69" s="90" t="str">
        <f>IF(ISERROR(VLOOKUP($T69, 'Reference data'!$J$2:$K$139, 2, FALSE)),"-",VLOOKUP($T69, 'Reference data'!$J$2:$K$139, 2, FALSE))</f>
        <v>-</v>
      </c>
      <c r="V69" s="308"/>
      <c r="W69" s="308"/>
      <c r="X69" s="312"/>
      <c r="Y69" s="313"/>
      <c r="Z69" s="228"/>
      <c r="AA69" s="352"/>
      <c r="AB69" s="82"/>
      <c r="AC69" s="71"/>
      <c r="AD69" s="70"/>
      <c r="AE69" s="226" t="s">
        <v>278</v>
      </c>
      <c r="AF69" s="230" t="s">
        <v>77</v>
      </c>
    </row>
    <row r="70" spans="2:32" ht="13" x14ac:dyDescent="0.3">
      <c r="B70" s="346" t="str">
        <f>IF(C70="","Skip",IF(AND(Validator!J564=TRUE,Validator!J64=TRUE,Validator!J314,Validator!J314=TRUE,Validator!J814=TRUE,Validator!J1064=TRUE,Validator!J1314=TRUE),"Valid","Invalid"))</f>
        <v>Skip</v>
      </c>
      <c r="C70" s="69"/>
      <c r="D70" s="407"/>
      <c r="E70" s="408"/>
      <c r="F70" s="519"/>
      <c r="G70" s="205"/>
      <c r="H70" s="519"/>
      <c r="I70" s="194"/>
      <c r="J70" s="414"/>
      <c r="K70" s="395"/>
      <c r="L70" s="412"/>
      <c r="M70" s="310"/>
      <c r="N70" s="413"/>
      <c r="O70" s="398" t="s">
        <v>278</v>
      </c>
      <c r="P70" s="399" t="s">
        <v>77</v>
      </c>
      <c r="Q70" s="348"/>
      <c r="R70" s="308"/>
      <c r="S70" s="349"/>
      <c r="T70" s="349"/>
      <c r="U70" s="90" t="str">
        <f>IF(ISERROR(VLOOKUP($T70, 'Reference data'!$J$2:$K$139, 2, FALSE)),"-",VLOOKUP($T70, 'Reference data'!$J$2:$K$139, 2, FALSE))</f>
        <v>-</v>
      </c>
      <c r="V70" s="308"/>
      <c r="W70" s="308"/>
      <c r="X70" s="312"/>
      <c r="Y70" s="313"/>
      <c r="Z70" s="228"/>
      <c r="AA70" s="352"/>
      <c r="AB70" s="82"/>
      <c r="AC70" s="71"/>
      <c r="AD70" s="70"/>
      <c r="AE70" s="226" t="s">
        <v>278</v>
      </c>
      <c r="AF70" s="230" t="s">
        <v>77</v>
      </c>
    </row>
    <row r="71" spans="2:32" ht="13" x14ac:dyDescent="0.3">
      <c r="B71" s="346" t="str">
        <f>IF(C71="","Skip",IF(AND(Validator!J565=TRUE,Validator!J65=TRUE,Validator!J315,Validator!J315=TRUE,Validator!J815=TRUE,Validator!J1065=TRUE,Validator!J1315=TRUE),"Valid","Invalid"))</f>
        <v>Skip</v>
      </c>
      <c r="C71" s="69"/>
      <c r="D71" s="407"/>
      <c r="E71" s="408"/>
      <c r="F71" s="519"/>
      <c r="G71" s="205"/>
      <c r="H71" s="519"/>
      <c r="I71" s="194"/>
      <c r="J71" s="414"/>
      <c r="K71" s="395"/>
      <c r="L71" s="412"/>
      <c r="M71" s="310"/>
      <c r="N71" s="413"/>
      <c r="O71" s="398" t="s">
        <v>278</v>
      </c>
      <c r="P71" s="399" t="s">
        <v>77</v>
      </c>
      <c r="Q71" s="348"/>
      <c r="R71" s="308"/>
      <c r="S71" s="349"/>
      <c r="T71" s="349"/>
      <c r="U71" s="90" t="str">
        <f>IF(ISERROR(VLOOKUP($T71, 'Reference data'!$J$2:$K$139, 2, FALSE)),"-",VLOOKUP($T71, 'Reference data'!$J$2:$K$139, 2, FALSE))</f>
        <v>-</v>
      </c>
      <c r="V71" s="308"/>
      <c r="W71" s="308"/>
      <c r="X71" s="312"/>
      <c r="Y71" s="313"/>
      <c r="Z71" s="228"/>
      <c r="AA71" s="352"/>
      <c r="AB71" s="82"/>
      <c r="AC71" s="71"/>
      <c r="AD71" s="70"/>
      <c r="AE71" s="226" t="s">
        <v>278</v>
      </c>
      <c r="AF71" s="230" t="s">
        <v>77</v>
      </c>
    </row>
    <row r="72" spans="2:32" ht="13" x14ac:dyDescent="0.3">
      <c r="B72" s="346" t="str">
        <f>IF(C72="","Skip",IF(AND(Validator!J566=TRUE,Validator!J66=TRUE,Validator!J316,Validator!J316=TRUE,Validator!J816=TRUE,Validator!J1066=TRUE,Validator!J1316=TRUE),"Valid","Invalid"))</f>
        <v>Skip</v>
      </c>
      <c r="C72" s="69"/>
      <c r="D72" s="407"/>
      <c r="E72" s="408"/>
      <c r="F72" s="519"/>
      <c r="G72" s="205"/>
      <c r="H72" s="519"/>
      <c r="I72" s="194"/>
      <c r="J72" s="414"/>
      <c r="K72" s="395"/>
      <c r="L72" s="412"/>
      <c r="M72" s="310"/>
      <c r="N72" s="413"/>
      <c r="O72" s="398" t="s">
        <v>278</v>
      </c>
      <c r="P72" s="399" t="s">
        <v>77</v>
      </c>
      <c r="Q72" s="348"/>
      <c r="R72" s="308"/>
      <c r="S72" s="349"/>
      <c r="T72" s="349"/>
      <c r="U72" s="90" t="str">
        <f>IF(ISERROR(VLOOKUP($T72, 'Reference data'!$J$2:$K$139, 2, FALSE)),"-",VLOOKUP($T72, 'Reference data'!$J$2:$K$139, 2, FALSE))</f>
        <v>-</v>
      </c>
      <c r="V72" s="308"/>
      <c r="W72" s="308"/>
      <c r="X72" s="312"/>
      <c r="Y72" s="313"/>
      <c r="Z72" s="228"/>
      <c r="AA72" s="352"/>
      <c r="AB72" s="82"/>
      <c r="AC72" s="71"/>
      <c r="AD72" s="70"/>
      <c r="AE72" s="226" t="s">
        <v>278</v>
      </c>
      <c r="AF72" s="230" t="s">
        <v>77</v>
      </c>
    </row>
    <row r="73" spans="2:32" ht="13" x14ac:dyDescent="0.3">
      <c r="B73" s="346" t="str">
        <f>IF(C73="","Skip",IF(AND(Validator!J567=TRUE,Validator!J67=TRUE,Validator!J317,Validator!J317=TRUE,Validator!J817=TRUE,Validator!J1067=TRUE,Validator!J1317=TRUE),"Valid","Invalid"))</f>
        <v>Skip</v>
      </c>
      <c r="C73" s="69"/>
      <c r="D73" s="407"/>
      <c r="E73" s="408"/>
      <c r="F73" s="519"/>
      <c r="G73" s="205"/>
      <c r="H73" s="519"/>
      <c r="I73" s="194"/>
      <c r="J73" s="414"/>
      <c r="K73" s="395"/>
      <c r="L73" s="412"/>
      <c r="M73" s="310"/>
      <c r="N73" s="413"/>
      <c r="O73" s="398" t="s">
        <v>278</v>
      </c>
      <c r="P73" s="399" t="s">
        <v>77</v>
      </c>
      <c r="Q73" s="348"/>
      <c r="R73" s="308"/>
      <c r="S73" s="349"/>
      <c r="T73" s="349"/>
      <c r="U73" s="90" t="str">
        <f>IF(ISERROR(VLOOKUP($T73, 'Reference data'!$J$2:$K$139, 2, FALSE)),"-",VLOOKUP($T73, 'Reference data'!$J$2:$K$139, 2, FALSE))</f>
        <v>-</v>
      </c>
      <c r="V73" s="308"/>
      <c r="W73" s="308"/>
      <c r="X73" s="312"/>
      <c r="Y73" s="313"/>
      <c r="Z73" s="228"/>
      <c r="AA73" s="352"/>
      <c r="AB73" s="82"/>
      <c r="AC73" s="71"/>
      <c r="AD73" s="70"/>
      <c r="AE73" s="226" t="s">
        <v>278</v>
      </c>
      <c r="AF73" s="230" t="s">
        <v>77</v>
      </c>
    </row>
    <row r="74" spans="2:32" ht="13" x14ac:dyDescent="0.3">
      <c r="B74" s="346" t="str">
        <f>IF(C74="","Skip",IF(AND(Validator!J568=TRUE,Validator!J68=TRUE,Validator!J318,Validator!J318=TRUE,Validator!J818=TRUE,Validator!J1068=TRUE,Validator!J1318=TRUE),"Valid","Invalid"))</f>
        <v>Skip</v>
      </c>
      <c r="C74" s="69"/>
      <c r="D74" s="407"/>
      <c r="E74" s="408"/>
      <c r="F74" s="519"/>
      <c r="G74" s="205"/>
      <c r="H74" s="519"/>
      <c r="I74" s="194"/>
      <c r="J74" s="414"/>
      <c r="K74" s="395"/>
      <c r="L74" s="412"/>
      <c r="M74" s="310"/>
      <c r="N74" s="413"/>
      <c r="O74" s="398" t="s">
        <v>278</v>
      </c>
      <c r="P74" s="399" t="s">
        <v>77</v>
      </c>
      <c r="Q74" s="348"/>
      <c r="R74" s="308"/>
      <c r="S74" s="349"/>
      <c r="T74" s="349"/>
      <c r="U74" s="90" t="str">
        <f>IF(ISERROR(VLOOKUP($T74, 'Reference data'!$J$2:$K$139, 2, FALSE)),"-",VLOOKUP($T74, 'Reference data'!$J$2:$K$139, 2, FALSE))</f>
        <v>-</v>
      </c>
      <c r="V74" s="308"/>
      <c r="W74" s="308"/>
      <c r="X74" s="312"/>
      <c r="Y74" s="313"/>
      <c r="Z74" s="228"/>
      <c r="AA74" s="352"/>
      <c r="AB74" s="82"/>
      <c r="AC74" s="71"/>
      <c r="AD74" s="70"/>
      <c r="AE74" s="226" t="s">
        <v>278</v>
      </c>
      <c r="AF74" s="230" t="s">
        <v>77</v>
      </c>
    </row>
    <row r="75" spans="2:32" ht="13" x14ac:dyDescent="0.3">
      <c r="B75" s="346" t="str">
        <f>IF(C75="","Skip",IF(AND(Validator!J569=TRUE,Validator!J69=TRUE,Validator!J319,Validator!J319=TRUE,Validator!J819=TRUE,Validator!J1069=TRUE,Validator!J1319=TRUE),"Valid","Invalid"))</f>
        <v>Skip</v>
      </c>
      <c r="C75" s="69"/>
      <c r="D75" s="407"/>
      <c r="E75" s="408"/>
      <c r="F75" s="519"/>
      <c r="G75" s="205"/>
      <c r="H75" s="519"/>
      <c r="I75" s="194"/>
      <c r="J75" s="414"/>
      <c r="K75" s="395"/>
      <c r="L75" s="412"/>
      <c r="M75" s="310"/>
      <c r="N75" s="413"/>
      <c r="O75" s="398" t="s">
        <v>278</v>
      </c>
      <c r="P75" s="399" t="s">
        <v>77</v>
      </c>
      <c r="Q75" s="348"/>
      <c r="R75" s="308"/>
      <c r="S75" s="349"/>
      <c r="T75" s="349"/>
      <c r="U75" s="90" t="str">
        <f>IF(ISERROR(VLOOKUP($T75, 'Reference data'!$J$2:$K$139, 2, FALSE)),"-",VLOOKUP($T75, 'Reference data'!$J$2:$K$139, 2, FALSE))</f>
        <v>-</v>
      </c>
      <c r="V75" s="308"/>
      <c r="W75" s="308"/>
      <c r="X75" s="312"/>
      <c r="Y75" s="313"/>
      <c r="Z75" s="228"/>
      <c r="AA75" s="352"/>
      <c r="AB75" s="82"/>
      <c r="AC75" s="71"/>
      <c r="AD75" s="70"/>
      <c r="AE75" s="226" t="s">
        <v>278</v>
      </c>
      <c r="AF75" s="230" t="s">
        <v>77</v>
      </c>
    </row>
    <row r="76" spans="2:32" ht="13" x14ac:dyDescent="0.3">
      <c r="B76" s="346" t="str">
        <f>IF(C76="","Skip",IF(AND(Validator!J570=TRUE,Validator!J70=TRUE,Validator!J320,Validator!J320=TRUE,Validator!J820=TRUE,Validator!J1070=TRUE,Validator!J1320=TRUE),"Valid","Invalid"))</f>
        <v>Skip</v>
      </c>
      <c r="C76" s="69"/>
      <c r="D76" s="407"/>
      <c r="E76" s="408"/>
      <c r="F76" s="519"/>
      <c r="G76" s="205"/>
      <c r="H76" s="519"/>
      <c r="I76" s="194"/>
      <c r="J76" s="414"/>
      <c r="K76" s="395"/>
      <c r="L76" s="412"/>
      <c r="M76" s="310"/>
      <c r="N76" s="413"/>
      <c r="O76" s="398" t="s">
        <v>278</v>
      </c>
      <c r="P76" s="399" t="s">
        <v>77</v>
      </c>
      <c r="Q76" s="348"/>
      <c r="R76" s="308"/>
      <c r="S76" s="349"/>
      <c r="T76" s="349"/>
      <c r="U76" s="90" t="str">
        <f>IF(ISERROR(VLOOKUP($T76, 'Reference data'!$J$2:$K$139, 2, FALSE)),"-",VLOOKUP($T76, 'Reference data'!$J$2:$K$139, 2, FALSE))</f>
        <v>-</v>
      </c>
      <c r="V76" s="308"/>
      <c r="W76" s="308"/>
      <c r="X76" s="312"/>
      <c r="Y76" s="313"/>
      <c r="Z76" s="228"/>
      <c r="AA76" s="352"/>
      <c r="AB76" s="82"/>
      <c r="AC76" s="71"/>
      <c r="AD76" s="70"/>
      <c r="AE76" s="226" t="s">
        <v>278</v>
      </c>
      <c r="AF76" s="230" t="s">
        <v>77</v>
      </c>
    </row>
    <row r="77" spans="2:32" ht="13" x14ac:dyDescent="0.3">
      <c r="B77" s="346" t="str">
        <f>IF(C77="","Skip",IF(AND(Validator!J571=TRUE,Validator!J71=TRUE,Validator!J321,Validator!J321=TRUE,Validator!J821=TRUE,Validator!J1071=TRUE,Validator!J1321=TRUE),"Valid","Invalid"))</f>
        <v>Skip</v>
      </c>
      <c r="C77" s="69"/>
      <c r="D77" s="407"/>
      <c r="E77" s="408"/>
      <c r="F77" s="519"/>
      <c r="G77" s="205"/>
      <c r="H77" s="519"/>
      <c r="I77" s="194"/>
      <c r="J77" s="414"/>
      <c r="K77" s="395"/>
      <c r="L77" s="412"/>
      <c r="M77" s="310"/>
      <c r="N77" s="413"/>
      <c r="O77" s="398" t="s">
        <v>278</v>
      </c>
      <c r="P77" s="399" t="s">
        <v>77</v>
      </c>
      <c r="Q77" s="348"/>
      <c r="R77" s="308"/>
      <c r="S77" s="349"/>
      <c r="T77" s="349"/>
      <c r="U77" s="90" t="str">
        <f>IF(ISERROR(VLOOKUP($T77, 'Reference data'!$J$2:$K$139, 2, FALSE)),"-",VLOOKUP($T77, 'Reference data'!$J$2:$K$139, 2, FALSE))</f>
        <v>-</v>
      </c>
      <c r="V77" s="308"/>
      <c r="W77" s="308"/>
      <c r="X77" s="312"/>
      <c r="Y77" s="313"/>
      <c r="Z77" s="228"/>
      <c r="AA77" s="352"/>
      <c r="AB77" s="82"/>
      <c r="AC77" s="71"/>
      <c r="AD77" s="70"/>
      <c r="AE77" s="226" t="s">
        <v>278</v>
      </c>
      <c r="AF77" s="230" t="s">
        <v>77</v>
      </c>
    </row>
    <row r="78" spans="2:32" ht="13" x14ac:dyDescent="0.3">
      <c r="B78" s="346" t="str">
        <f>IF(C78="","Skip",IF(AND(Validator!J572=TRUE,Validator!J72=TRUE,Validator!J322,Validator!J322=TRUE,Validator!J822=TRUE,Validator!J1072=TRUE,Validator!J1322=TRUE),"Valid","Invalid"))</f>
        <v>Skip</v>
      </c>
      <c r="C78" s="69"/>
      <c r="D78" s="407"/>
      <c r="E78" s="408"/>
      <c r="F78" s="519"/>
      <c r="G78" s="205"/>
      <c r="H78" s="519"/>
      <c r="I78" s="194"/>
      <c r="J78" s="414"/>
      <c r="K78" s="395"/>
      <c r="L78" s="412"/>
      <c r="M78" s="310"/>
      <c r="N78" s="413"/>
      <c r="O78" s="398" t="s">
        <v>278</v>
      </c>
      <c r="P78" s="399" t="s">
        <v>77</v>
      </c>
      <c r="Q78" s="348"/>
      <c r="R78" s="308"/>
      <c r="S78" s="349"/>
      <c r="T78" s="349"/>
      <c r="U78" s="90" t="str">
        <f>IF(ISERROR(VLOOKUP($T78, 'Reference data'!$J$2:$K$139, 2, FALSE)),"-",VLOOKUP($T78, 'Reference data'!$J$2:$K$139, 2, FALSE))</f>
        <v>-</v>
      </c>
      <c r="V78" s="308"/>
      <c r="W78" s="308"/>
      <c r="X78" s="312"/>
      <c r="Y78" s="313"/>
      <c r="Z78" s="228"/>
      <c r="AA78" s="352"/>
      <c r="AB78" s="82"/>
      <c r="AC78" s="71"/>
      <c r="AD78" s="70"/>
      <c r="AE78" s="226" t="s">
        <v>278</v>
      </c>
      <c r="AF78" s="230" t="s">
        <v>77</v>
      </c>
    </row>
    <row r="79" spans="2:32" ht="13" x14ac:dyDescent="0.3">
      <c r="B79" s="346" t="str">
        <f>IF(C79="","Skip",IF(AND(Validator!J573=TRUE,Validator!J73=TRUE,Validator!J323,Validator!J323=TRUE,Validator!J823=TRUE,Validator!J1073=TRUE,Validator!J1323=TRUE),"Valid","Invalid"))</f>
        <v>Skip</v>
      </c>
      <c r="C79" s="69"/>
      <c r="D79" s="407"/>
      <c r="E79" s="408"/>
      <c r="F79" s="519"/>
      <c r="G79" s="205"/>
      <c r="H79" s="519"/>
      <c r="I79" s="194"/>
      <c r="J79" s="414"/>
      <c r="K79" s="395"/>
      <c r="L79" s="412"/>
      <c r="M79" s="310"/>
      <c r="N79" s="413"/>
      <c r="O79" s="398" t="s">
        <v>278</v>
      </c>
      <c r="P79" s="399" t="s">
        <v>77</v>
      </c>
      <c r="Q79" s="348"/>
      <c r="R79" s="308"/>
      <c r="S79" s="349"/>
      <c r="T79" s="349"/>
      <c r="U79" s="90" t="str">
        <f>IF(ISERROR(VLOOKUP($T79, 'Reference data'!$J$2:$K$139, 2, FALSE)),"-",VLOOKUP($T79, 'Reference data'!$J$2:$K$139, 2, FALSE))</f>
        <v>-</v>
      </c>
      <c r="V79" s="308"/>
      <c r="W79" s="308"/>
      <c r="X79" s="312"/>
      <c r="Y79" s="313"/>
      <c r="Z79" s="228"/>
      <c r="AA79" s="352"/>
      <c r="AB79" s="82"/>
      <c r="AC79" s="71"/>
      <c r="AD79" s="70"/>
      <c r="AE79" s="226" t="s">
        <v>278</v>
      </c>
      <c r="AF79" s="230" t="s">
        <v>77</v>
      </c>
    </row>
    <row r="80" spans="2:32" ht="13" x14ac:dyDescent="0.3">
      <c r="B80" s="346" t="str">
        <f>IF(C80="","Skip",IF(AND(Validator!J574=TRUE,Validator!J74=TRUE,Validator!J324,Validator!J324=TRUE,Validator!J824=TRUE,Validator!J1074=TRUE,Validator!J1324=TRUE),"Valid","Invalid"))</f>
        <v>Skip</v>
      </c>
      <c r="C80" s="69"/>
      <c r="D80" s="407"/>
      <c r="E80" s="408"/>
      <c r="F80" s="519"/>
      <c r="G80" s="205"/>
      <c r="H80" s="519"/>
      <c r="I80" s="194"/>
      <c r="J80" s="414"/>
      <c r="K80" s="395"/>
      <c r="L80" s="412"/>
      <c r="M80" s="310"/>
      <c r="N80" s="413"/>
      <c r="O80" s="398" t="s">
        <v>278</v>
      </c>
      <c r="P80" s="399" t="s">
        <v>77</v>
      </c>
      <c r="Q80" s="348"/>
      <c r="R80" s="308"/>
      <c r="S80" s="349"/>
      <c r="T80" s="349"/>
      <c r="U80" s="90" t="str">
        <f>IF(ISERROR(VLOOKUP($T80, 'Reference data'!$J$2:$K$139, 2, FALSE)),"-",VLOOKUP($T80, 'Reference data'!$J$2:$K$139, 2, FALSE))</f>
        <v>-</v>
      </c>
      <c r="V80" s="308"/>
      <c r="W80" s="308"/>
      <c r="X80" s="312"/>
      <c r="Y80" s="313"/>
      <c r="Z80" s="228"/>
      <c r="AA80" s="352"/>
      <c r="AB80" s="82"/>
      <c r="AC80" s="71"/>
      <c r="AD80" s="70"/>
      <c r="AE80" s="226" t="s">
        <v>278</v>
      </c>
      <c r="AF80" s="230" t="s">
        <v>77</v>
      </c>
    </row>
    <row r="81" spans="2:32" ht="13" x14ac:dyDescent="0.3">
      <c r="B81" s="346" t="str">
        <f>IF(C81="","Skip",IF(AND(Validator!J575=TRUE,Validator!J75=TRUE,Validator!J325,Validator!J325=TRUE,Validator!J825=TRUE,Validator!J1075=TRUE,Validator!J1325=TRUE),"Valid","Invalid"))</f>
        <v>Skip</v>
      </c>
      <c r="C81" s="69"/>
      <c r="D81" s="407"/>
      <c r="E81" s="408"/>
      <c r="F81" s="519"/>
      <c r="G81" s="205"/>
      <c r="H81" s="519"/>
      <c r="I81" s="194"/>
      <c r="J81" s="414"/>
      <c r="K81" s="395"/>
      <c r="L81" s="412"/>
      <c r="M81" s="310"/>
      <c r="N81" s="413"/>
      <c r="O81" s="398" t="s">
        <v>278</v>
      </c>
      <c r="P81" s="399" t="s">
        <v>77</v>
      </c>
      <c r="Q81" s="348"/>
      <c r="R81" s="308"/>
      <c r="S81" s="349"/>
      <c r="T81" s="349"/>
      <c r="U81" s="90" t="str">
        <f>IF(ISERROR(VLOOKUP($T81, 'Reference data'!$J$2:$K$139, 2, FALSE)),"-",VLOOKUP($T81, 'Reference data'!$J$2:$K$139, 2, FALSE))</f>
        <v>-</v>
      </c>
      <c r="V81" s="308"/>
      <c r="W81" s="308"/>
      <c r="X81" s="312"/>
      <c r="Y81" s="313"/>
      <c r="Z81" s="228"/>
      <c r="AA81" s="352"/>
      <c r="AB81" s="82"/>
      <c r="AC81" s="71"/>
      <c r="AD81" s="70"/>
      <c r="AE81" s="226" t="s">
        <v>278</v>
      </c>
      <c r="AF81" s="230" t="s">
        <v>77</v>
      </c>
    </row>
    <row r="82" spans="2:32" ht="13" x14ac:dyDescent="0.3">
      <c r="B82" s="346" t="str">
        <f>IF(C82="","Skip",IF(AND(Validator!J576=TRUE,Validator!J76=TRUE,Validator!J326,Validator!J326=TRUE,Validator!J826=TRUE,Validator!J1076=TRUE,Validator!J1326=TRUE),"Valid","Invalid"))</f>
        <v>Skip</v>
      </c>
      <c r="C82" s="69"/>
      <c r="D82" s="407"/>
      <c r="E82" s="408"/>
      <c r="F82" s="519"/>
      <c r="G82" s="205"/>
      <c r="H82" s="519"/>
      <c r="I82" s="194"/>
      <c r="J82" s="414"/>
      <c r="K82" s="395"/>
      <c r="L82" s="412"/>
      <c r="M82" s="310"/>
      <c r="N82" s="413"/>
      <c r="O82" s="398" t="s">
        <v>278</v>
      </c>
      <c r="P82" s="399" t="s">
        <v>77</v>
      </c>
      <c r="Q82" s="348"/>
      <c r="R82" s="308"/>
      <c r="S82" s="349"/>
      <c r="T82" s="349"/>
      <c r="U82" s="90" t="str">
        <f>IF(ISERROR(VLOOKUP($T82, 'Reference data'!$J$2:$K$139, 2, FALSE)),"-",VLOOKUP($T82, 'Reference data'!$J$2:$K$139, 2, FALSE))</f>
        <v>-</v>
      </c>
      <c r="V82" s="308"/>
      <c r="W82" s="308"/>
      <c r="X82" s="312"/>
      <c r="Y82" s="313"/>
      <c r="Z82" s="228"/>
      <c r="AA82" s="352"/>
      <c r="AB82" s="82"/>
      <c r="AC82" s="71"/>
      <c r="AD82" s="70"/>
      <c r="AE82" s="226" t="s">
        <v>278</v>
      </c>
      <c r="AF82" s="230" t="s">
        <v>77</v>
      </c>
    </row>
    <row r="83" spans="2:32" ht="13" x14ac:dyDescent="0.3">
      <c r="B83" s="346" t="str">
        <f>IF(C83="","Skip",IF(AND(Validator!J577=TRUE,Validator!J77=TRUE,Validator!J327,Validator!J327=TRUE,Validator!J827=TRUE,Validator!J1077=TRUE,Validator!J1327=TRUE),"Valid","Invalid"))</f>
        <v>Skip</v>
      </c>
      <c r="C83" s="69"/>
      <c r="D83" s="407"/>
      <c r="E83" s="408"/>
      <c r="F83" s="519"/>
      <c r="G83" s="205"/>
      <c r="H83" s="519"/>
      <c r="I83" s="194"/>
      <c r="J83" s="414"/>
      <c r="K83" s="395"/>
      <c r="L83" s="412"/>
      <c r="M83" s="310"/>
      <c r="N83" s="413"/>
      <c r="O83" s="398" t="s">
        <v>278</v>
      </c>
      <c r="P83" s="399" t="s">
        <v>77</v>
      </c>
      <c r="Q83" s="348"/>
      <c r="R83" s="308"/>
      <c r="S83" s="349"/>
      <c r="T83" s="349"/>
      <c r="U83" s="90" t="str">
        <f>IF(ISERROR(VLOOKUP($T83, 'Reference data'!$J$2:$K$139, 2, FALSE)),"-",VLOOKUP($T83, 'Reference data'!$J$2:$K$139, 2, FALSE))</f>
        <v>-</v>
      </c>
      <c r="V83" s="308"/>
      <c r="W83" s="308"/>
      <c r="X83" s="312"/>
      <c r="Y83" s="313"/>
      <c r="Z83" s="228"/>
      <c r="AA83" s="352"/>
      <c r="AB83" s="82"/>
      <c r="AC83" s="71"/>
      <c r="AD83" s="70"/>
      <c r="AE83" s="226" t="s">
        <v>278</v>
      </c>
      <c r="AF83" s="230" t="s">
        <v>77</v>
      </c>
    </row>
    <row r="84" spans="2:32" ht="13" x14ac:dyDescent="0.3">
      <c r="B84" s="346" t="str">
        <f>IF(C84="","Skip",IF(AND(Validator!J578=TRUE,Validator!J78=TRUE,Validator!J328,Validator!J328=TRUE,Validator!J828=TRUE,Validator!J1078=TRUE,Validator!J1328=TRUE),"Valid","Invalid"))</f>
        <v>Skip</v>
      </c>
      <c r="C84" s="69"/>
      <c r="D84" s="407"/>
      <c r="E84" s="408"/>
      <c r="F84" s="519"/>
      <c r="G84" s="205"/>
      <c r="H84" s="519"/>
      <c r="I84" s="194"/>
      <c r="J84" s="414"/>
      <c r="K84" s="395"/>
      <c r="L84" s="412"/>
      <c r="M84" s="310"/>
      <c r="N84" s="413"/>
      <c r="O84" s="398" t="s">
        <v>278</v>
      </c>
      <c r="P84" s="399" t="s">
        <v>77</v>
      </c>
      <c r="Q84" s="348"/>
      <c r="R84" s="308"/>
      <c r="S84" s="349"/>
      <c r="T84" s="349"/>
      <c r="U84" s="90" t="str">
        <f>IF(ISERROR(VLOOKUP($T84, 'Reference data'!$J$2:$K$139, 2, FALSE)),"-",VLOOKUP($T84, 'Reference data'!$J$2:$K$139, 2, FALSE))</f>
        <v>-</v>
      </c>
      <c r="V84" s="308"/>
      <c r="W84" s="308"/>
      <c r="X84" s="312"/>
      <c r="Y84" s="313"/>
      <c r="Z84" s="228"/>
      <c r="AA84" s="352"/>
      <c r="AB84" s="82"/>
      <c r="AC84" s="71"/>
      <c r="AD84" s="70"/>
      <c r="AE84" s="226" t="s">
        <v>278</v>
      </c>
      <c r="AF84" s="230" t="s">
        <v>77</v>
      </c>
    </row>
    <row r="85" spans="2:32" ht="13" x14ac:dyDescent="0.3">
      <c r="B85" s="346" t="str">
        <f>IF(C85="","Skip",IF(AND(Validator!J579=TRUE,Validator!J79=TRUE,Validator!J329,Validator!J329=TRUE,Validator!J829=TRUE,Validator!J1079=TRUE,Validator!J1329=TRUE),"Valid","Invalid"))</f>
        <v>Skip</v>
      </c>
      <c r="C85" s="69"/>
      <c r="D85" s="407"/>
      <c r="E85" s="408"/>
      <c r="F85" s="519"/>
      <c r="G85" s="205"/>
      <c r="H85" s="519"/>
      <c r="I85" s="194"/>
      <c r="J85" s="414"/>
      <c r="K85" s="395"/>
      <c r="L85" s="412"/>
      <c r="M85" s="310"/>
      <c r="N85" s="413"/>
      <c r="O85" s="398" t="s">
        <v>278</v>
      </c>
      <c r="P85" s="399" t="s">
        <v>77</v>
      </c>
      <c r="Q85" s="348"/>
      <c r="R85" s="308"/>
      <c r="S85" s="349"/>
      <c r="T85" s="349"/>
      <c r="U85" s="90" t="str">
        <f>IF(ISERROR(VLOOKUP($T85, 'Reference data'!$J$2:$K$139, 2, FALSE)),"-",VLOOKUP($T85, 'Reference data'!$J$2:$K$139, 2, FALSE))</f>
        <v>-</v>
      </c>
      <c r="V85" s="308"/>
      <c r="W85" s="308"/>
      <c r="X85" s="312"/>
      <c r="Y85" s="313"/>
      <c r="Z85" s="228"/>
      <c r="AA85" s="352"/>
      <c r="AB85" s="82"/>
      <c r="AC85" s="71"/>
      <c r="AD85" s="70"/>
      <c r="AE85" s="226" t="s">
        <v>278</v>
      </c>
      <c r="AF85" s="230" t="s">
        <v>77</v>
      </c>
    </row>
    <row r="86" spans="2:32" ht="13" x14ac:dyDescent="0.3">
      <c r="B86" s="346" t="str">
        <f>IF(C86="","Skip",IF(AND(Validator!J580=TRUE,Validator!J80=TRUE,Validator!J330,Validator!J330=TRUE,Validator!J830=TRUE,Validator!J1080=TRUE,Validator!J1330=TRUE),"Valid","Invalid"))</f>
        <v>Skip</v>
      </c>
      <c r="C86" s="69"/>
      <c r="D86" s="407"/>
      <c r="E86" s="408"/>
      <c r="F86" s="519"/>
      <c r="G86" s="205"/>
      <c r="H86" s="519"/>
      <c r="I86" s="194"/>
      <c r="J86" s="414"/>
      <c r="K86" s="395"/>
      <c r="L86" s="412"/>
      <c r="M86" s="310"/>
      <c r="N86" s="413"/>
      <c r="O86" s="398" t="s">
        <v>278</v>
      </c>
      <c r="P86" s="399" t="s">
        <v>77</v>
      </c>
      <c r="Q86" s="348"/>
      <c r="R86" s="308"/>
      <c r="S86" s="349"/>
      <c r="T86" s="349"/>
      <c r="U86" s="90" t="str">
        <f>IF(ISERROR(VLOOKUP($T86, 'Reference data'!$J$2:$K$139, 2, FALSE)),"-",VLOOKUP($T86, 'Reference data'!$J$2:$K$139, 2, FALSE))</f>
        <v>-</v>
      </c>
      <c r="V86" s="308"/>
      <c r="W86" s="308"/>
      <c r="X86" s="312"/>
      <c r="Y86" s="313"/>
      <c r="Z86" s="228"/>
      <c r="AA86" s="352"/>
      <c r="AB86" s="82"/>
      <c r="AC86" s="71"/>
      <c r="AD86" s="70"/>
      <c r="AE86" s="226" t="s">
        <v>278</v>
      </c>
      <c r="AF86" s="230" t="s">
        <v>77</v>
      </c>
    </row>
    <row r="87" spans="2:32" ht="13" x14ac:dyDescent="0.3">
      <c r="B87" s="346" t="str">
        <f>IF(C87="","Skip",IF(AND(Validator!J581=TRUE,Validator!J81=TRUE,Validator!J331,Validator!J331=TRUE,Validator!J831=TRUE,Validator!J1081=TRUE,Validator!J1331=TRUE),"Valid","Invalid"))</f>
        <v>Skip</v>
      </c>
      <c r="C87" s="69"/>
      <c r="D87" s="407"/>
      <c r="E87" s="408"/>
      <c r="F87" s="519"/>
      <c r="G87" s="205"/>
      <c r="H87" s="519"/>
      <c r="I87" s="194"/>
      <c r="J87" s="414"/>
      <c r="K87" s="395"/>
      <c r="L87" s="412"/>
      <c r="M87" s="310"/>
      <c r="N87" s="413"/>
      <c r="O87" s="398" t="s">
        <v>278</v>
      </c>
      <c r="P87" s="399" t="s">
        <v>77</v>
      </c>
      <c r="Q87" s="348"/>
      <c r="R87" s="308"/>
      <c r="S87" s="349"/>
      <c r="T87" s="349"/>
      <c r="U87" s="90" t="str">
        <f>IF(ISERROR(VLOOKUP($T87, 'Reference data'!$J$2:$K$139, 2, FALSE)),"-",VLOOKUP($T87, 'Reference data'!$J$2:$K$139, 2, FALSE))</f>
        <v>-</v>
      </c>
      <c r="V87" s="308"/>
      <c r="W87" s="308"/>
      <c r="X87" s="312"/>
      <c r="Y87" s="313"/>
      <c r="Z87" s="228"/>
      <c r="AA87" s="352"/>
      <c r="AB87" s="82"/>
      <c r="AC87" s="71"/>
      <c r="AD87" s="70"/>
      <c r="AE87" s="226" t="s">
        <v>278</v>
      </c>
      <c r="AF87" s="230" t="s">
        <v>77</v>
      </c>
    </row>
    <row r="88" spans="2:32" ht="13" x14ac:dyDescent="0.3">
      <c r="B88" s="346" t="str">
        <f>IF(C88="","Skip",IF(AND(Validator!J582=TRUE,Validator!J82=TRUE,Validator!J332,Validator!J332=TRUE,Validator!J832=TRUE,Validator!J1082=TRUE,Validator!J1332=TRUE),"Valid","Invalid"))</f>
        <v>Skip</v>
      </c>
      <c r="C88" s="69"/>
      <c r="D88" s="407"/>
      <c r="E88" s="408"/>
      <c r="F88" s="519"/>
      <c r="G88" s="205"/>
      <c r="H88" s="519"/>
      <c r="I88" s="194"/>
      <c r="J88" s="414"/>
      <c r="K88" s="395"/>
      <c r="L88" s="412"/>
      <c r="M88" s="310"/>
      <c r="N88" s="413"/>
      <c r="O88" s="398" t="s">
        <v>278</v>
      </c>
      <c r="P88" s="399" t="s">
        <v>77</v>
      </c>
      <c r="Q88" s="348"/>
      <c r="R88" s="308"/>
      <c r="S88" s="349"/>
      <c r="T88" s="349"/>
      <c r="U88" s="90" t="str">
        <f>IF(ISERROR(VLOOKUP($T88, 'Reference data'!$J$2:$K$139, 2, FALSE)),"-",VLOOKUP($T88, 'Reference data'!$J$2:$K$139, 2, FALSE))</f>
        <v>-</v>
      </c>
      <c r="V88" s="308"/>
      <c r="W88" s="308"/>
      <c r="X88" s="312"/>
      <c r="Y88" s="313"/>
      <c r="Z88" s="228"/>
      <c r="AA88" s="352"/>
      <c r="AB88" s="82"/>
      <c r="AC88" s="71"/>
      <c r="AD88" s="70"/>
      <c r="AE88" s="226" t="s">
        <v>278</v>
      </c>
      <c r="AF88" s="230" t="s">
        <v>77</v>
      </c>
    </row>
    <row r="89" spans="2:32" ht="13" x14ac:dyDescent="0.3">
      <c r="B89" s="346" t="str">
        <f>IF(C89="","Skip",IF(AND(Validator!J583=TRUE,Validator!J83=TRUE,Validator!J333,Validator!J333=TRUE,Validator!J833=TRUE,Validator!J1083=TRUE,Validator!J1333=TRUE),"Valid","Invalid"))</f>
        <v>Skip</v>
      </c>
      <c r="C89" s="69"/>
      <c r="D89" s="407"/>
      <c r="E89" s="408"/>
      <c r="F89" s="519"/>
      <c r="G89" s="205"/>
      <c r="H89" s="519"/>
      <c r="I89" s="194"/>
      <c r="J89" s="414"/>
      <c r="K89" s="395"/>
      <c r="L89" s="412"/>
      <c r="M89" s="310"/>
      <c r="N89" s="413"/>
      <c r="O89" s="398" t="s">
        <v>278</v>
      </c>
      <c r="P89" s="399" t="s">
        <v>77</v>
      </c>
      <c r="Q89" s="348"/>
      <c r="R89" s="308"/>
      <c r="S89" s="349"/>
      <c r="T89" s="349"/>
      <c r="U89" s="90" t="str">
        <f>IF(ISERROR(VLOOKUP($T89, 'Reference data'!$J$2:$K$139, 2, FALSE)),"-",VLOOKUP($T89, 'Reference data'!$J$2:$K$139, 2, FALSE))</f>
        <v>-</v>
      </c>
      <c r="V89" s="308"/>
      <c r="W89" s="308"/>
      <c r="X89" s="312"/>
      <c r="Y89" s="313"/>
      <c r="Z89" s="228"/>
      <c r="AA89" s="352"/>
      <c r="AB89" s="82"/>
      <c r="AC89" s="71"/>
      <c r="AD89" s="70"/>
      <c r="AE89" s="226" t="s">
        <v>278</v>
      </c>
      <c r="AF89" s="230" t="s">
        <v>77</v>
      </c>
    </row>
    <row r="90" spans="2:32" ht="13" x14ac:dyDescent="0.3">
      <c r="B90" s="346" t="str">
        <f>IF(C90="","Skip",IF(AND(Validator!J584=TRUE,Validator!J84=TRUE,Validator!J334,Validator!J334=TRUE,Validator!J834=TRUE,Validator!J1084=TRUE,Validator!J1334=TRUE),"Valid","Invalid"))</f>
        <v>Skip</v>
      </c>
      <c r="C90" s="69"/>
      <c r="D90" s="407"/>
      <c r="E90" s="408"/>
      <c r="F90" s="519"/>
      <c r="G90" s="205"/>
      <c r="H90" s="519"/>
      <c r="I90" s="194"/>
      <c r="J90" s="414"/>
      <c r="K90" s="395"/>
      <c r="L90" s="412"/>
      <c r="M90" s="310"/>
      <c r="N90" s="413"/>
      <c r="O90" s="398" t="s">
        <v>278</v>
      </c>
      <c r="P90" s="399" t="s">
        <v>77</v>
      </c>
      <c r="Q90" s="348"/>
      <c r="R90" s="308"/>
      <c r="S90" s="349"/>
      <c r="T90" s="349"/>
      <c r="U90" s="90" t="str">
        <f>IF(ISERROR(VLOOKUP($T90, 'Reference data'!$J$2:$K$139, 2, FALSE)),"-",VLOOKUP($T90, 'Reference data'!$J$2:$K$139, 2, FALSE))</f>
        <v>-</v>
      </c>
      <c r="V90" s="308"/>
      <c r="W90" s="308"/>
      <c r="X90" s="312"/>
      <c r="Y90" s="313"/>
      <c r="Z90" s="228"/>
      <c r="AA90" s="352"/>
      <c r="AB90" s="82"/>
      <c r="AC90" s="71"/>
      <c r="AD90" s="70"/>
      <c r="AE90" s="226" t="s">
        <v>278</v>
      </c>
      <c r="AF90" s="230" t="s">
        <v>77</v>
      </c>
    </row>
    <row r="91" spans="2:32" ht="13" x14ac:dyDescent="0.3">
      <c r="B91" s="346" t="str">
        <f>IF(C91="","Skip",IF(AND(Validator!J585=TRUE,Validator!J85=TRUE,Validator!J335,Validator!J335=TRUE,Validator!J835=TRUE,Validator!J1085=TRUE,Validator!J1335=TRUE),"Valid","Invalid"))</f>
        <v>Skip</v>
      </c>
      <c r="C91" s="69"/>
      <c r="D91" s="407"/>
      <c r="E91" s="408"/>
      <c r="F91" s="519"/>
      <c r="G91" s="205"/>
      <c r="H91" s="519"/>
      <c r="I91" s="194"/>
      <c r="J91" s="414"/>
      <c r="K91" s="395"/>
      <c r="L91" s="412"/>
      <c r="M91" s="310"/>
      <c r="N91" s="413"/>
      <c r="O91" s="398" t="s">
        <v>278</v>
      </c>
      <c r="P91" s="399" t="s">
        <v>77</v>
      </c>
      <c r="Q91" s="348"/>
      <c r="R91" s="308"/>
      <c r="S91" s="349"/>
      <c r="T91" s="349"/>
      <c r="U91" s="90" t="str">
        <f>IF(ISERROR(VLOOKUP($T91, 'Reference data'!$J$2:$K$139, 2, FALSE)),"-",VLOOKUP($T91, 'Reference data'!$J$2:$K$139, 2, FALSE))</f>
        <v>-</v>
      </c>
      <c r="V91" s="308"/>
      <c r="W91" s="308"/>
      <c r="X91" s="312"/>
      <c r="Y91" s="313"/>
      <c r="Z91" s="228"/>
      <c r="AA91" s="352"/>
      <c r="AB91" s="82"/>
      <c r="AC91" s="71"/>
      <c r="AD91" s="70"/>
      <c r="AE91" s="226" t="s">
        <v>278</v>
      </c>
      <c r="AF91" s="230" t="s">
        <v>77</v>
      </c>
    </row>
    <row r="92" spans="2:32" ht="13" x14ac:dyDescent="0.3">
      <c r="B92" s="346" t="str">
        <f>IF(C92="","Skip",IF(AND(Validator!J586=TRUE,Validator!J86=TRUE,Validator!J336,Validator!J336=TRUE,Validator!J836=TRUE,Validator!J1086=TRUE,Validator!J1336=TRUE),"Valid","Invalid"))</f>
        <v>Skip</v>
      </c>
      <c r="C92" s="69"/>
      <c r="D92" s="407"/>
      <c r="E92" s="408"/>
      <c r="F92" s="519"/>
      <c r="G92" s="205"/>
      <c r="H92" s="519"/>
      <c r="I92" s="194"/>
      <c r="J92" s="414"/>
      <c r="K92" s="395"/>
      <c r="L92" s="412"/>
      <c r="M92" s="310"/>
      <c r="N92" s="413"/>
      <c r="O92" s="398" t="s">
        <v>278</v>
      </c>
      <c r="P92" s="399" t="s">
        <v>77</v>
      </c>
      <c r="Q92" s="348"/>
      <c r="R92" s="308"/>
      <c r="S92" s="349"/>
      <c r="T92" s="349"/>
      <c r="U92" s="90" t="str">
        <f>IF(ISERROR(VLOOKUP($T92, 'Reference data'!$J$2:$K$139, 2, FALSE)),"-",VLOOKUP($T92, 'Reference data'!$J$2:$K$139, 2, FALSE))</f>
        <v>-</v>
      </c>
      <c r="V92" s="308"/>
      <c r="W92" s="308"/>
      <c r="X92" s="312"/>
      <c r="Y92" s="313"/>
      <c r="Z92" s="228"/>
      <c r="AA92" s="352"/>
      <c r="AB92" s="82"/>
      <c r="AC92" s="71"/>
      <c r="AD92" s="70"/>
      <c r="AE92" s="226" t="s">
        <v>278</v>
      </c>
      <c r="AF92" s="230" t="s">
        <v>77</v>
      </c>
    </row>
    <row r="93" spans="2:32" ht="13" x14ac:dyDescent="0.3">
      <c r="B93" s="346" t="str">
        <f>IF(C93="","Skip",IF(AND(Validator!J587=TRUE,Validator!J87=TRUE,Validator!J337,Validator!J337=TRUE,Validator!J837=TRUE,Validator!J1087=TRUE,Validator!J1337=TRUE),"Valid","Invalid"))</f>
        <v>Skip</v>
      </c>
      <c r="C93" s="69"/>
      <c r="D93" s="407"/>
      <c r="E93" s="408"/>
      <c r="F93" s="519"/>
      <c r="G93" s="205"/>
      <c r="H93" s="519"/>
      <c r="I93" s="194"/>
      <c r="J93" s="414"/>
      <c r="K93" s="395"/>
      <c r="L93" s="412"/>
      <c r="M93" s="310"/>
      <c r="N93" s="413"/>
      <c r="O93" s="398" t="s">
        <v>278</v>
      </c>
      <c r="P93" s="399" t="s">
        <v>77</v>
      </c>
      <c r="Q93" s="348"/>
      <c r="R93" s="308"/>
      <c r="S93" s="349"/>
      <c r="T93" s="349"/>
      <c r="U93" s="90" t="str">
        <f>IF(ISERROR(VLOOKUP($T93, 'Reference data'!$J$2:$K$139, 2, FALSE)),"-",VLOOKUP($T93, 'Reference data'!$J$2:$K$139, 2, FALSE))</f>
        <v>-</v>
      </c>
      <c r="V93" s="308"/>
      <c r="W93" s="308"/>
      <c r="X93" s="312"/>
      <c r="Y93" s="313"/>
      <c r="Z93" s="228"/>
      <c r="AA93" s="352"/>
      <c r="AB93" s="82"/>
      <c r="AC93" s="71"/>
      <c r="AD93" s="70"/>
      <c r="AE93" s="226" t="s">
        <v>278</v>
      </c>
      <c r="AF93" s="230" t="s">
        <v>77</v>
      </c>
    </row>
    <row r="94" spans="2:32" ht="13" x14ac:dyDescent="0.3">
      <c r="B94" s="346" t="str">
        <f>IF(C94="","Skip",IF(AND(Validator!J588=TRUE,Validator!J88=TRUE,Validator!J338,Validator!J338=TRUE,Validator!J838=TRUE,Validator!J1088=TRUE,Validator!J1338=TRUE),"Valid","Invalid"))</f>
        <v>Skip</v>
      </c>
      <c r="C94" s="69"/>
      <c r="D94" s="407"/>
      <c r="E94" s="408"/>
      <c r="F94" s="519"/>
      <c r="G94" s="205"/>
      <c r="H94" s="519"/>
      <c r="I94" s="194"/>
      <c r="J94" s="414"/>
      <c r="K94" s="395"/>
      <c r="L94" s="412"/>
      <c r="M94" s="310"/>
      <c r="N94" s="413"/>
      <c r="O94" s="398" t="s">
        <v>278</v>
      </c>
      <c r="P94" s="399" t="s">
        <v>77</v>
      </c>
      <c r="Q94" s="348"/>
      <c r="R94" s="308"/>
      <c r="S94" s="349"/>
      <c r="T94" s="349"/>
      <c r="U94" s="90" t="str">
        <f>IF(ISERROR(VLOOKUP($T94, 'Reference data'!$J$2:$K$139, 2, FALSE)),"-",VLOOKUP($T94, 'Reference data'!$J$2:$K$139, 2, FALSE))</f>
        <v>-</v>
      </c>
      <c r="V94" s="308"/>
      <c r="W94" s="308"/>
      <c r="X94" s="312"/>
      <c r="Y94" s="313"/>
      <c r="Z94" s="228"/>
      <c r="AA94" s="352"/>
      <c r="AB94" s="82"/>
      <c r="AC94" s="71"/>
      <c r="AD94" s="70"/>
      <c r="AE94" s="226" t="s">
        <v>278</v>
      </c>
      <c r="AF94" s="230" t="s">
        <v>77</v>
      </c>
    </row>
    <row r="95" spans="2:32" ht="13" x14ac:dyDescent="0.3">
      <c r="B95" s="346" t="str">
        <f>IF(C95="","Skip",IF(AND(Validator!J589=TRUE,Validator!J89=TRUE,Validator!J339,Validator!J339=TRUE,Validator!J839=TRUE,Validator!J1089=TRUE,Validator!J1339=TRUE),"Valid","Invalid"))</f>
        <v>Skip</v>
      </c>
      <c r="C95" s="69"/>
      <c r="D95" s="407"/>
      <c r="E95" s="408"/>
      <c r="F95" s="519"/>
      <c r="G95" s="205"/>
      <c r="H95" s="519"/>
      <c r="I95" s="194"/>
      <c r="J95" s="414"/>
      <c r="K95" s="395"/>
      <c r="L95" s="412"/>
      <c r="M95" s="310"/>
      <c r="N95" s="413"/>
      <c r="O95" s="398" t="s">
        <v>278</v>
      </c>
      <c r="P95" s="399" t="s">
        <v>77</v>
      </c>
      <c r="Q95" s="348"/>
      <c r="R95" s="308"/>
      <c r="S95" s="349"/>
      <c r="T95" s="349"/>
      <c r="U95" s="90" t="str">
        <f>IF(ISERROR(VLOOKUP($T95, 'Reference data'!$J$2:$K$139, 2, FALSE)),"-",VLOOKUP($T95, 'Reference data'!$J$2:$K$139, 2, FALSE))</f>
        <v>-</v>
      </c>
      <c r="V95" s="308"/>
      <c r="W95" s="308"/>
      <c r="X95" s="312"/>
      <c r="Y95" s="313"/>
      <c r="Z95" s="228"/>
      <c r="AA95" s="352"/>
      <c r="AB95" s="82"/>
      <c r="AC95" s="71"/>
      <c r="AD95" s="70"/>
      <c r="AE95" s="226" t="s">
        <v>278</v>
      </c>
      <c r="AF95" s="230" t="s">
        <v>77</v>
      </c>
    </row>
    <row r="96" spans="2:32" ht="13" x14ac:dyDescent="0.3">
      <c r="B96" s="346" t="str">
        <f>IF(C96="","Skip",IF(AND(Validator!J590=TRUE,Validator!J90=TRUE,Validator!J340,Validator!J340=TRUE,Validator!J840=TRUE,Validator!J1090=TRUE,Validator!J1340=TRUE),"Valid","Invalid"))</f>
        <v>Skip</v>
      </c>
      <c r="C96" s="69"/>
      <c r="D96" s="407"/>
      <c r="E96" s="408"/>
      <c r="F96" s="519"/>
      <c r="G96" s="205"/>
      <c r="H96" s="519"/>
      <c r="I96" s="194"/>
      <c r="J96" s="414"/>
      <c r="K96" s="395"/>
      <c r="L96" s="412"/>
      <c r="M96" s="310"/>
      <c r="N96" s="413"/>
      <c r="O96" s="398" t="s">
        <v>278</v>
      </c>
      <c r="P96" s="399" t="s">
        <v>77</v>
      </c>
      <c r="Q96" s="348"/>
      <c r="R96" s="308"/>
      <c r="S96" s="349"/>
      <c r="T96" s="349"/>
      <c r="U96" s="90" t="str">
        <f>IF(ISERROR(VLOOKUP($T96, 'Reference data'!$J$2:$K$139, 2, FALSE)),"-",VLOOKUP($T96, 'Reference data'!$J$2:$K$139, 2, FALSE))</f>
        <v>-</v>
      </c>
      <c r="V96" s="308"/>
      <c r="W96" s="308"/>
      <c r="X96" s="312"/>
      <c r="Y96" s="313"/>
      <c r="Z96" s="228"/>
      <c r="AA96" s="352"/>
      <c r="AB96" s="82"/>
      <c r="AC96" s="71"/>
      <c r="AD96" s="70"/>
      <c r="AE96" s="226" t="s">
        <v>278</v>
      </c>
      <c r="AF96" s="230" t="s">
        <v>77</v>
      </c>
    </row>
    <row r="97" spans="2:32" ht="13" x14ac:dyDescent="0.3">
      <c r="B97" s="346" t="str">
        <f>IF(C97="","Skip",IF(AND(Validator!J591=TRUE,Validator!J91=TRUE,Validator!J341,Validator!J341=TRUE,Validator!J841=TRUE,Validator!J1091=TRUE,Validator!J1341=TRUE),"Valid","Invalid"))</f>
        <v>Skip</v>
      </c>
      <c r="C97" s="69"/>
      <c r="D97" s="407"/>
      <c r="E97" s="408"/>
      <c r="F97" s="519"/>
      <c r="G97" s="205"/>
      <c r="H97" s="519"/>
      <c r="I97" s="194"/>
      <c r="J97" s="414"/>
      <c r="K97" s="395"/>
      <c r="L97" s="412"/>
      <c r="M97" s="310"/>
      <c r="N97" s="413"/>
      <c r="O97" s="398" t="s">
        <v>278</v>
      </c>
      <c r="P97" s="399" t="s">
        <v>77</v>
      </c>
      <c r="Q97" s="348"/>
      <c r="R97" s="308"/>
      <c r="S97" s="349"/>
      <c r="T97" s="349"/>
      <c r="U97" s="90" t="str">
        <f>IF(ISERROR(VLOOKUP($T97, 'Reference data'!$J$2:$K$139, 2, FALSE)),"-",VLOOKUP($T97, 'Reference data'!$J$2:$K$139, 2, FALSE))</f>
        <v>-</v>
      </c>
      <c r="V97" s="308"/>
      <c r="W97" s="308"/>
      <c r="X97" s="312"/>
      <c r="Y97" s="313"/>
      <c r="Z97" s="228"/>
      <c r="AA97" s="352"/>
      <c r="AB97" s="82"/>
      <c r="AC97" s="71"/>
      <c r="AD97" s="70"/>
      <c r="AE97" s="226" t="s">
        <v>278</v>
      </c>
      <c r="AF97" s="230" t="s">
        <v>77</v>
      </c>
    </row>
    <row r="98" spans="2:32" ht="13" x14ac:dyDescent="0.3">
      <c r="B98" s="346" t="str">
        <f>IF(C98="","Skip",IF(AND(Validator!J592=TRUE,Validator!J92=TRUE,Validator!J342,Validator!J342=TRUE,Validator!J842=TRUE,Validator!J1092=TRUE,Validator!J1342=TRUE),"Valid","Invalid"))</f>
        <v>Skip</v>
      </c>
      <c r="C98" s="69"/>
      <c r="D98" s="407"/>
      <c r="E98" s="408"/>
      <c r="F98" s="519"/>
      <c r="G98" s="205"/>
      <c r="H98" s="519"/>
      <c r="I98" s="194"/>
      <c r="J98" s="414"/>
      <c r="K98" s="395"/>
      <c r="L98" s="412"/>
      <c r="M98" s="310"/>
      <c r="N98" s="413"/>
      <c r="O98" s="398" t="s">
        <v>278</v>
      </c>
      <c r="P98" s="399" t="s">
        <v>77</v>
      </c>
      <c r="Q98" s="348"/>
      <c r="R98" s="308"/>
      <c r="S98" s="349"/>
      <c r="T98" s="349"/>
      <c r="U98" s="90" t="str">
        <f>IF(ISERROR(VLOOKUP($T98, 'Reference data'!$J$2:$K$139, 2, FALSE)),"-",VLOOKUP($T98, 'Reference data'!$J$2:$K$139, 2, FALSE))</f>
        <v>-</v>
      </c>
      <c r="V98" s="308"/>
      <c r="W98" s="308"/>
      <c r="X98" s="312"/>
      <c r="Y98" s="313"/>
      <c r="Z98" s="228"/>
      <c r="AA98" s="352"/>
      <c r="AB98" s="82"/>
      <c r="AC98" s="71"/>
      <c r="AD98" s="70"/>
      <c r="AE98" s="226" t="s">
        <v>278</v>
      </c>
      <c r="AF98" s="230" t="s">
        <v>77</v>
      </c>
    </row>
    <row r="99" spans="2:32" ht="13" x14ac:dyDescent="0.3">
      <c r="B99" s="346" t="str">
        <f>IF(C99="","Skip",IF(AND(Validator!J593=TRUE,Validator!J93=TRUE,Validator!J343,Validator!J343=TRUE,Validator!J843=TRUE,Validator!J1093=TRUE,Validator!J1343=TRUE),"Valid","Invalid"))</f>
        <v>Skip</v>
      </c>
      <c r="C99" s="69"/>
      <c r="D99" s="407"/>
      <c r="E99" s="408"/>
      <c r="F99" s="519"/>
      <c r="G99" s="205"/>
      <c r="H99" s="519"/>
      <c r="I99" s="194"/>
      <c r="J99" s="414"/>
      <c r="K99" s="395"/>
      <c r="L99" s="412"/>
      <c r="M99" s="310"/>
      <c r="N99" s="413"/>
      <c r="O99" s="398" t="s">
        <v>278</v>
      </c>
      <c r="P99" s="399" t="s">
        <v>77</v>
      </c>
      <c r="Q99" s="348"/>
      <c r="R99" s="308"/>
      <c r="S99" s="349"/>
      <c r="T99" s="349"/>
      <c r="U99" s="90" t="str">
        <f>IF(ISERROR(VLOOKUP($T99, 'Reference data'!$J$2:$K$139, 2, FALSE)),"-",VLOOKUP($T99, 'Reference data'!$J$2:$K$139, 2, FALSE))</f>
        <v>-</v>
      </c>
      <c r="V99" s="308"/>
      <c r="W99" s="308"/>
      <c r="X99" s="312"/>
      <c r="Y99" s="313"/>
      <c r="Z99" s="228"/>
      <c r="AA99" s="352"/>
      <c r="AB99" s="82"/>
      <c r="AC99" s="71"/>
      <c r="AD99" s="70"/>
      <c r="AE99" s="226" t="s">
        <v>278</v>
      </c>
      <c r="AF99" s="230" t="s">
        <v>77</v>
      </c>
    </row>
    <row r="100" spans="2:32" ht="13" x14ac:dyDescent="0.3">
      <c r="B100" s="346" t="str">
        <f>IF(C100="","Skip",IF(AND(Validator!J594=TRUE,Validator!J94=TRUE,Validator!J344,Validator!J344=TRUE,Validator!J844=TRUE,Validator!J1094=TRUE,Validator!J1344=TRUE),"Valid","Invalid"))</f>
        <v>Skip</v>
      </c>
      <c r="C100" s="69"/>
      <c r="D100" s="407"/>
      <c r="E100" s="408"/>
      <c r="F100" s="519"/>
      <c r="G100" s="205"/>
      <c r="H100" s="519"/>
      <c r="I100" s="194"/>
      <c r="J100" s="414"/>
      <c r="K100" s="395"/>
      <c r="L100" s="412"/>
      <c r="M100" s="310"/>
      <c r="N100" s="413"/>
      <c r="O100" s="398" t="s">
        <v>278</v>
      </c>
      <c r="P100" s="399" t="s">
        <v>77</v>
      </c>
      <c r="Q100" s="348"/>
      <c r="R100" s="308"/>
      <c r="S100" s="349"/>
      <c r="T100" s="349"/>
      <c r="U100" s="90" t="str">
        <f>IF(ISERROR(VLOOKUP($T100, 'Reference data'!$J$2:$K$139, 2, FALSE)),"-",VLOOKUP($T100, 'Reference data'!$J$2:$K$139, 2, FALSE))</f>
        <v>-</v>
      </c>
      <c r="V100" s="308"/>
      <c r="W100" s="308"/>
      <c r="X100" s="312"/>
      <c r="Y100" s="313"/>
      <c r="Z100" s="228"/>
      <c r="AA100" s="352"/>
      <c r="AB100" s="82"/>
      <c r="AC100" s="71"/>
      <c r="AD100" s="70"/>
      <c r="AE100" s="226" t="s">
        <v>278</v>
      </c>
      <c r="AF100" s="230" t="s">
        <v>77</v>
      </c>
    </row>
    <row r="101" spans="2:32" ht="13" x14ac:dyDescent="0.3">
      <c r="B101" s="346" t="str">
        <f>IF(C101="","Skip",IF(AND(Validator!J595=TRUE,Validator!J95=TRUE,Validator!J345,Validator!J345=TRUE,Validator!J845=TRUE,Validator!J1095=TRUE,Validator!J1345=TRUE),"Valid","Invalid"))</f>
        <v>Skip</v>
      </c>
      <c r="C101" s="69"/>
      <c r="D101" s="407"/>
      <c r="E101" s="408"/>
      <c r="F101" s="519"/>
      <c r="G101" s="205"/>
      <c r="H101" s="519"/>
      <c r="I101" s="194"/>
      <c r="J101" s="414"/>
      <c r="K101" s="395"/>
      <c r="L101" s="412"/>
      <c r="M101" s="310"/>
      <c r="N101" s="413"/>
      <c r="O101" s="398" t="s">
        <v>278</v>
      </c>
      <c r="P101" s="399" t="s">
        <v>77</v>
      </c>
      <c r="Q101" s="348"/>
      <c r="R101" s="308"/>
      <c r="S101" s="349"/>
      <c r="T101" s="349"/>
      <c r="U101" s="90" t="str">
        <f>IF(ISERROR(VLOOKUP($T101, 'Reference data'!$J$2:$K$139, 2, FALSE)),"-",VLOOKUP($T101, 'Reference data'!$J$2:$K$139, 2, FALSE))</f>
        <v>-</v>
      </c>
      <c r="V101" s="308"/>
      <c r="W101" s="308"/>
      <c r="X101" s="312"/>
      <c r="Y101" s="313"/>
      <c r="Z101" s="228"/>
      <c r="AA101" s="352"/>
      <c r="AB101" s="82"/>
      <c r="AC101" s="71"/>
      <c r="AD101" s="70"/>
      <c r="AE101" s="226" t="s">
        <v>278</v>
      </c>
      <c r="AF101" s="230" t="s">
        <v>77</v>
      </c>
    </row>
    <row r="102" spans="2:32" ht="13" x14ac:dyDescent="0.3">
      <c r="B102" s="346" t="str">
        <f>IF(C102="","Skip",IF(AND(Validator!J596=TRUE,Validator!J96=TRUE,Validator!J346,Validator!J346=TRUE,Validator!J846=TRUE,Validator!J1096=TRUE,Validator!J1346=TRUE),"Valid","Invalid"))</f>
        <v>Skip</v>
      </c>
      <c r="C102" s="69"/>
      <c r="D102" s="407"/>
      <c r="E102" s="408"/>
      <c r="F102" s="519"/>
      <c r="G102" s="205"/>
      <c r="H102" s="519"/>
      <c r="I102" s="194"/>
      <c r="J102" s="414"/>
      <c r="K102" s="395"/>
      <c r="L102" s="412"/>
      <c r="M102" s="310"/>
      <c r="N102" s="413"/>
      <c r="O102" s="398" t="s">
        <v>278</v>
      </c>
      <c r="P102" s="399" t="s">
        <v>77</v>
      </c>
      <c r="Q102" s="348"/>
      <c r="R102" s="308"/>
      <c r="S102" s="349"/>
      <c r="T102" s="349"/>
      <c r="U102" s="90" t="str">
        <f>IF(ISERROR(VLOOKUP($T102, 'Reference data'!$J$2:$K$139, 2, FALSE)),"-",VLOOKUP($T102, 'Reference data'!$J$2:$K$139, 2, FALSE))</f>
        <v>-</v>
      </c>
      <c r="V102" s="308"/>
      <c r="W102" s="308"/>
      <c r="X102" s="312"/>
      <c r="Y102" s="313"/>
      <c r="Z102" s="228"/>
      <c r="AA102" s="352"/>
      <c r="AB102" s="82"/>
      <c r="AC102" s="71"/>
      <c r="AD102" s="70"/>
      <c r="AE102" s="226" t="s">
        <v>278</v>
      </c>
      <c r="AF102" s="230" t="s">
        <v>77</v>
      </c>
    </row>
    <row r="103" spans="2:32" ht="13" x14ac:dyDescent="0.3">
      <c r="B103" s="346" t="str">
        <f>IF(C103="","Skip",IF(AND(Validator!J597=TRUE,Validator!J97=TRUE,Validator!J347,Validator!J347=TRUE,Validator!J847=TRUE,Validator!J1097=TRUE,Validator!J1347=TRUE),"Valid","Invalid"))</f>
        <v>Skip</v>
      </c>
      <c r="C103" s="69"/>
      <c r="D103" s="407"/>
      <c r="E103" s="408"/>
      <c r="F103" s="519"/>
      <c r="G103" s="205"/>
      <c r="H103" s="519"/>
      <c r="I103" s="194"/>
      <c r="J103" s="414"/>
      <c r="K103" s="395"/>
      <c r="L103" s="412"/>
      <c r="M103" s="310"/>
      <c r="N103" s="413"/>
      <c r="O103" s="398" t="s">
        <v>278</v>
      </c>
      <c r="P103" s="399" t="s">
        <v>77</v>
      </c>
      <c r="Q103" s="348"/>
      <c r="R103" s="308"/>
      <c r="S103" s="349"/>
      <c r="T103" s="349"/>
      <c r="U103" s="90" t="str">
        <f>IF(ISERROR(VLOOKUP($T103, 'Reference data'!$J$2:$K$139, 2, FALSE)),"-",VLOOKUP($T103, 'Reference data'!$J$2:$K$139, 2, FALSE))</f>
        <v>-</v>
      </c>
      <c r="V103" s="308"/>
      <c r="W103" s="308"/>
      <c r="X103" s="312"/>
      <c r="Y103" s="313"/>
      <c r="Z103" s="228"/>
      <c r="AA103" s="352"/>
      <c r="AB103" s="82"/>
      <c r="AC103" s="71"/>
      <c r="AD103" s="70"/>
      <c r="AE103" s="226" t="s">
        <v>278</v>
      </c>
      <c r="AF103" s="230" t="s">
        <v>77</v>
      </c>
    </row>
    <row r="104" spans="2:32" ht="13" x14ac:dyDescent="0.3">
      <c r="B104" s="346" t="str">
        <f>IF(C104="","Skip",IF(AND(Validator!J598=TRUE,Validator!J98=TRUE,Validator!J348,Validator!J348=TRUE,Validator!J848=TRUE,Validator!J1098=TRUE,Validator!J1348=TRUE),"Valid","Invalid"))</f>
        <v>Skip</v>
      </c>
      <c r="C104" s="69"/>
      <c r="D104" s="407"/>
      <c r="E104" s="408"/>
      <c r="F104" s="519"/>
      <c r="G104" s="205"/>
      <c r="H104" s="519"/>
      <c r="I104" s="194"/>
      <c r="J104" s="414"/>
      <c r="K104" s="395"/>
      <c r="L104" s="412"/>
      <c r="M104" s="310"/>
      <c r="N104" s="413"/>
      <c r="O104" s="398" t="s">
        <v>278</v>
      </c>
      <c r="P104" s="399" t="s">
        <v>77</v>
      </c>
      <c r="Q104" s="348"/>
      <c r="R104" s="308"/>
      <c r="S104" s="349"/>
      <c r="T104" s="349"/>
      <c r="U104" s="90" t="str">
        <f>IF(ISERROR(VLOOKUP($T104, 'Reference data'!$J$2:$K$139, 2, FALSE)),"-",VLOOKUP($T104, 'Reference data'!$J$2:$K$139, 2, FALSE))</f>
        <v>-</v>
      </c>
      <c r="V104" s="308"/>
      <c r="W104" s="308"/>
      <c r="X104" s="312"/>
      <c r="Y104" s="313"/>
      <c r="Z104" s="228"/>
      <c r="AA104" s="352"/>
      <c r="AB104" s="82"/>
      <c r="AC104" s="71"/>
      <c r="AD104" s="70"/>
      <c r="AE104" s="226" t="s">
        <v>278</v>
      </c>
      <c r="AF104" s="230" t="s">
        <v>77</v>
      </c>
    </row>
    <row r="105" spans="2:32" ht="13" x14ac:dyDescent="0.3">
      <c r="B105" s="346" t="str">
        <f>IF(C105="","Skip",IF(AND(Validator!J599=TRUE,Validator!J99=TRUE,Validator!J349,Validator!J349=TRUE,Validator!J849=TRUE,Validator!J1099=TRUE,Validator!J1349=TRUE),"Valid","Invalid"))</f>
        <v>Skip</v>
      </c>
      <c r="C105" s="69"/>
      <c r="D105" s="407"/>
      <c r="E105" s="408"/>
      <c r="F105" s="519"/>
      <c r="G105" s="205"/>
      <c r="H105" s="519"/>
      <c r="I105" s="194"/>
      <c r="J105" s="414"/>
      <c r="K105" s="395"/>
      <c r="L105" s="412"/>
      <c r="M105" s="310"/>
      <c r="N105" s="413"/>
      <c r="O105" s="398" t="s">
        <v>278</v>
      </c>
      <c r="P105" s="399" t="s">
        <v>77</v>
      </c>
      <c r="Q105" s="348"/>
      <c r="R105" s="308"/>
      <c r="S105" s="349"/>
      <c r="T105" s="349"/>
      <c r="U105" s="90" t="str">
        <f>IF(ISERROR(VLOOKUP($T105, 'Reference data'!$J$2:$K$139, 2, FALSE)),"-",VLOOKUP($T105, 'Reference data'!$J$2:$K$139, 2, FALSE))</f>
        <v>-</v>
      </c>
      <c r="V105" s="308"/>
      <c r="W105" s="308"/>
      <c r="X105" s="312"/>
      <c r="Y105" s="313"/>
      <c r="Z105" s="228"/>
      <c r="AA105" s="352"/>
      <c r="AB105" s="82"/>
      <c r="AC105" s="71"/>
      <c r="AD105" s="70"/>
      <c r="AE105" s="226" t="s">
        <v>278</v>
      </c>
      <c r="AF105" s="230" t="s">
        <v>77</v>
      </c>
    </row>
    <row r="106" spans="2:32" ht="13" x14ac:dyDescent="0.3">
      <c r="B106" s="346" t="str">
        <f>IF(C106="","Skip",IF(AND(Validator!J600=TRUE,Validator!J100=TRUE,Validator!J350,Validator!J350=TRUE,Validator!J850=TRUE,Validator!J1100=TRUE,Validator!J1350=TRUE),"Valid","Invalid"))</f>
        <v>Skip</v>
      </c>
      <c r="C106" s="69"/>
      <c r="D106" s="407"/>
      <c r="E106" s="408"/>
      <c r="F106" s="519"/>
      <c r="G106" s="205"/>
      <c r="H106" s="519"/>
      <c r="I106" s="194"/>
      <c r="J106" s="414"/>
      <c r="K106" s="395"/>
      <c r="L106" s="412"/>
      <c r="M106" s="310"/>
      <c r="N106" s="413"/>
      <c r="O106" s="398" t="s">
        <v>278</v>
      </c>
      <c r="P106" s="399" t="s">
        <v>77</v>
      </c>
      <c r="Q106" s="348"/>
      <c r="R106" s="308"/>
      <c r="S106" s="349"/>
      <c r="T106" s="349"/>
      <c r="U106" s="90" t="str">
        <f>IF(ISERROR(VLOOKUP($T106, 'Reference data'!$J$2:$K$139, 2, FALSE)),"-",VLOOKUP($T106, 'Reference data'!$J$2:$K$139, 2, FALSE))</f>
        <v>-</v>
      </c>
      <c r="V106" s="308"/>
      <c r="W106" s="308"/>
      <c r="X106" s="312"/>
      <c r="Y106" s="313"/>
      <c r="Z106" s="228"/>
      <c r="AA106" s="352"/>
      <c r="AB106" s="82"/>
      <c r="AC106" s="71"/>
      <c r="AD106" s="70"/>
      <c r="AE106" s="226" t="s">
        <v>278</v>
      </c>
      <c r="AF106" s="230" t="s">
        <v>77</v>
      </c>
    </row>
    <row r="107" spans="2:32" ht="13" x14ac:dyDescent="0.3">
      <c r="B107" s="346" t="str">
        <f>IF(C107="","Skip",IF(AND(Validator!J601=TRUE,Validator!J101=TRUE,Validator!J351,Validator!J351=TRUE,Validator!J851=TRUE,Validator!J1101=TRUE,Validator!J1351=TRUE),"Valid","Invalid"))</f>
        <v>Skip</v>
      </c>
      <c r="C107" s="69"/>
      <c r="D107" s="407"/>
      <c r="E107" s="408"/>
      <c r="F107" s="519"/>
      <c r="G107" s="205"/>
      <c r="H107" s="519"/>
      <c r="I107" s="194"/>
      <c r="J107" s="414"/>
      <c r="K107" s="395"/>
      <c r="L107" s="412"/>
      <c r="M107" s="310"/>
      <c r="N107" s="413"/>
      <c r="O107" s="398" t="s">
        <v>278</v>
      </c>
      <c r="P107" s="399" t="s">
        <v>77</v>
      </c>
      <c r="Q107" s="348"/>
      <c r="R107" s="308"/>
      <c r="S107" s="349"/>
      <c r="T107" s="349"/>
      <c r="U107" s="90" t="str">
        <f>IF(ISERROR(VLOOKUP($T107, 'Reference data'!$J$2:$K$139, 2, FALSE)),"-",VLOOKUP($T107, 'Reference data'!$J$2:$K$139, 2, FALSE))</f>
        <v>-</v>
      </c>
      <c r="V107" s="308"/>
      <c r="W107" s="308"/>
      <c r="X107" s="312"/>
      <c r="Y107" s="313"/>
      <c r="Z107" s="228"/>
      <c r="AA107" s="352"/>
      <c r="AB107" s="82"/>
      <c r="AC107" s="71"/>
      <c r="AD107" s="70"/>
      <c r="AE107" s="226" t="s">
        <v>278</v>
      </c>
      <c r="AF107" s="230" t="s">
        <v>77</v>
      </c>
    </row>
    <row r="108" spans="2:32" ht="13" x14ac:dyDescent="0.3">
      <c r="B108" s="346" t="str">
        <f>IF(C108="","Skip",IF(AND(Validator!J602=TRUE,Validator!J102=TRUE,Validator!J352,Validator!J352=TRUE,Validator!J852=TRUE,Validator!J1102=TRUE,Validator!J1352=TRUE),"Valid","Invalid"))</f>
        <v>Skip</v>
      </c>
      <c r="C108" s="69"/>
      <c r="D108" s="407"/>
      <c r="E108" s="408"/>
      <c r="F108" s="519"/>
      <c r="G108" s="205"/>
      <c r="H108" s="519"/>
      <c r="I108" s="194"/>
      <c r="J108" s="414"/>
      <c r="K108" s="395"/>
      <c r="L108" s="412"/>
      <c r="M108" s="310"/>
      <c r="N108" s="413"/>
      <c r="O108" s="398" t="s">
        <v>278</v>
      </c>
      <c r="P108" s="399" t="s">
        <v>77</v>
      </c>
      <c r="Q108" s="348"/>
      <c r="R108" s="308"/>
      <c r="S108" s="349"/>
      <c r="T108" s="349"/>
      <c r="U108" s="90" t="str">
        <f>IF(ISERROR(VLOOKUP($T108, 'Reference data'!$J$2:$K$139, 2, FALSE)),"-",VLOOKUP($T108, 'Reference data'!$J$2:$K$139, 2, FALSE))</f>
        <v>-</v>
      </c>
      <c r="V108" s="308"/>
      <c r="W108" s="308"/>
      <c r="X108" s="312"/>
      <c r="Y108" s="313"/>
      <c r="Z108" s="228"/>
      <c r="AA108" s="352"/>
      <c r="AB108" s="82"/>
      <c r="AC108" s="71"/>
      <c r="AD108" s="70"/>
      <c r="AE108" s="226" t="s">
        <v>278</v>
      </c>
      <c r="AF108" s="230" t="s">
        <v>77</v>
      </c>
    </row>
    <row r="109" spans="2:32" ht="13" x14ac:dyDescent="0.3">
      <c r="B109" s="346" t="str">
        <f>IF(C109="","Skip",IF(AND(Validator!J603=TRUE,Validator!J103=TRUE,Validator!J353,Validator!J353=TRUE,Validator!J853=TRUE,Validator!J1103=TRUE,Validator!J1353=TRUE),"Valid","Invalid"))</f>
        <v>Skip</v>
      </c>
      <c r="C109" s="69"/>
      <c r="D109" s="407"/>
      <c r="E109" s="408"/>
      <c r="F109" s="519"/>
      <c r="G109" s="205"/>
      <c r="H109" s="519"/>
      <c r="I109" s="194"/>
      <c r="J109" s="414"/>
      <c r="K109" s="395"/>
      <c r="L109" s="412"/>
      <c r="M109" s="310"/>
      <c r="N109" s="413"/>
      <c r="O109" s="398" t="s">
        <v>278</v>
      </c>
      <c r="P109" s="399" t="s">
        <v>77</v>
      </c>
      <c r="Q109" s="348"/>
      <c r="R109" s="308"/>
      <c r="S109" s="349"/>
      <c r="T109" s="349"/>
      <c r="U109" s="90" t="str">
        <f>IF(ISERROR(VLOOKUP($T109, 'Reference data'!$J$2:$K$139, 2, FALSE)),"-",VLOOKUP($T109, 'Reference data'!$J$2:$K$139, 2, FALSE))</f>
        <v>-</v>
      </c>
      <c r="V109" s="308"/>
      <c r="W109" s="308"/>
      <c r="X109" s="312"/>
      <c r="Y109" s="313"/>
      <c r="Z109" s="228"/>
      <c r="AA109" s="352"/>
      <c r="AB109" s="82"/>
      <c r="AC109" s="71"/>
      <c r="AD109" s="70"/>
      <c r="AE109" s="226" t="s">
        <v>278</v>
      </c>
      <c r="AF109" s="230" t="s">
        <v>77</v>
      </c>
    </row>
    <row r="110" spans="2:32" ht="13" x14ac:dyDescent="0.3">
      <c r="B110" s="346" t="str">
        <f>IF(C110="","Skip",IF(AND(Validator!J604=TRUE,Validator!J104=TRUE,Validator!J354,Validator!J354=TRUE,Validator!J854=TRUE,Validator!J1104=TRUE,Validator!J1354=TRUE),"Valid","Invalid"))</f>
        <v>Skip</v>
      </c>
      <c r="C110" s="69"/>
      <c r="D110" s="407"/>
      <c r="E110" s="408"/>
      <c r="F110" s="519"/>
      <c r="G110" s="205"/>
      <c r="H110" s="519"/>
      <c r="I110" s="194"/>
      <c r="J110" s="414"/>
      <c r="K110" s="395"/>
      <c r="L110" s="412"/>
      <c r="M110" s="310"/>
      <c r="N110" s="413"/>
      <c r="O110" s="398" t="s">
        <v>278</v>
      </c>
      <c r="P110" s="399" t="s">
        <v>77</v>
      </c>
      <c r="Q110" s="348"/>
      <c r="R110" s="308"/>
      <c r="S110" s="349"/>
      <c r="T110" s="349"/>
      <c r="U110" s="90" t="str">
        <f>IF(ISERROR(VLOOKUP($T110, 'Reference data'!$J$2:$K$139, 2, FALSE)),"-",VLOOKUP($T110, 'Reference data'!$J$2:$K$139, 2, FALSE))</f>
        <v>-</v>
      </c>
      <c r="V110" s="308"/>
      <c r="W110" s="308"/>
      <c r="X110" s="312"/>
      <c r="Y110" s="313"/>
      <c r="Z110" s="228"/>
      <c r="AA110" s="352"/>
      <c r="AB110" s="82"/>
      <c r="AC110" s="71"/>
      <c r="AD110" s="70"/>
      <c r="AE110" s="226" t="s">
        <v>278</v>
      </c>
      <c r="AF110" s="230" t="s">
        <v>77</v>
      </c>
    </row>
    <row r="111" spans="2:32" ht="13" x14ac:dyDescent="0.3">
      <c r="B111" s="346" t="str">
        <f>IF(C111="","Skip",IF(AND(Validator!J605=TRUE,Validator!J105=TRUE,Validator!J355,Validator!J355=TRUE,Validator!J855=TRUE,Validator!J1105=TRUE,Validator!J1355=TRUE),"Valid","Invalid"))</f>
        <v>Skip</v>
      </c>
      <c r="C111" s="69"/>
      <c r="D111" s="407"/>
      <c r="E111" s="408"/>
      <c r="F111" s="519"/>
      <c r="G111" s="205"/>
      <c r="H111" s="519"/>
      <c r="I111" s="194"/>
      <c r="J111" s="414"/>
      <c r="K111" s="395"/>
      <c r="L111" s="412"/>
      <c r="M111" s="310"/>
      <c r="N111" s="413"/>
      <c r="O111" s="398" t="s">
        <v>278</v>
      </c>
      <c r="P111" s="399" t="s">
        <v>77</v>
      </c>
      <c r="Q111" s="348"/>
      <c r="R111" s="308"/>
      <c r="S111" s="349"/>
      <c r="T111" s="349"/>
      <c r="U111" s="90" t="str">
        <f>IF(ISERROR(VLOOKUP($T111, 'Reference data'!$J$2:$K$139, 2, FALSE)),"-",VLOOKUP($T111, 'Reference data'!$J$2:$K$139, 2, FALSE))</f>
        <v>-</v>
      </c>
      <c r="V111" s="308"/>
      <c r="W111" s="308"/>
      <c r="X111" s="312"/>
      <c r="Y111" s="313"/>
      <c r="Z111" s="228"/>
      <c r="AA111" s="352"/>
      <c r="AB111" s="82"/>
      <c r="AC111" s="71"/>
      <c r="AD111" s="70"/>
      <c r="AE111" s="226" t="s">
        <v>278</v>
      </c>
      <c r="AF111" s="230" t="s">
        <v>77</v>
      </c>
    </row>
    <row r="112" spans="2:32" ht="13" x14ac:dyDescent="0.3">
      <c r="B112" s="346" t="str">
        <f>IF(C112="","Skip",IF(AND(Validator!J606=TRUE,Validator!J106=TRUE,Validator!J356,Validator!J356=TRUE,Validator!J856=TRUE,Validator!J1106=TRUE,Validator!J1356=TRUE),"Valid","Invalid"))</f>
        <v>Skip</v>
      </c>
      <c r="C112" s="69"/>
      <c r="D112" s="407"/>
      <c r="E112" s="408"/>
      <c r="F112" s="519"/>
      <c r="G112" s="205"/>
      <c r="H112" s="519"/>
      <c r="I112" s="194"/>
      <c r="J112" s="414"/>
      <c r="K112" s="395"/>
      <c r="L112" s="412"/>
      <c r="M112" s="310"/>
      <c r="N112" s="413"/>
      <c r="O112" s="398" t="s">
        <v>278</v>
      </c>
      <c r="P112" s="399" t="s">
        <v>77</v>
      </c>
      <c r="Q112" s="348"/>
      <c r="R112" s="308"/>
      <c r="S112" s="349"/>
      <c r="T112" s="349"/>
      <c r="U112" s="90" t="str">
        <f>IF(ISERROR(VLOOKUP($T112, 'Reference data'!$J$2:$K$139, 2, FALSE)),"-",VLOOKUP($T112, 'Reference data'!$J$2:$K$139, 2, FALSE))</f>
        <v>-</v>
      </c>
      <c r="V112" s="308"/>
      <c r="W112" s="308"/>
      <c r="X112" s="312"/>
      <c r="Y112" s="313"/>
      <c r="Z112" s="228"/>
      <c r="AA112" s="352"/>
      <c r="AB112" s="82"/>
      <c r="AC112" s="71"/>
      <c r="AD112" s="70"/>
      <c r="AE112" s="226" t="s">
        <v>278</v>
      </c>
      <c r="AF112" s="230" t="s">
        <v>77</v>
      </c>
    </row>
    <row r="113" spans="2:32" ht="13" x14ac:dyDescent="0.3">
      <c r="B113" s="346" t="str">
        <f>IF(C113="","Skip",IF(AND(Validator!J607=TRUE,Validator!J107=TRUE,Validator!J357,Validator!J357=TRUE,Validator!J857=TRUE,Validator!J1107=TRUE,Validator!J1357=TRUE),"Valid","Invalid"))</f>
        <v>Skip</v>
      </c>
      <c r="C113" s="69"/>
      <c r="D113" s="407"/>
      <c r="E113" s="408"/>
      <c r="F113" s="519"/>
      <c r="G113" s="205"/>
      <c r="H113" s="519"/>
      <c r="I113" s="194"/>
      <c r="J113" s="414"/>
      <c r="K113" s="395"/>
      <c r="L113" s="412"/>
      <c r="M113" s="310"/>
      <c r="N113" s="413"/>
      <c r="O113" s="398" t="s">
        <v>278</v>
      </c>
      <c r="P113" s="399" t="s">
        <v>77</v>
      </c>
      <c r="Q113" s="348"/>
      <c r="R113" s="308"/>
      <c r="S113" s="349"/>
      <c r="T113" s="349"/>
      <c r="U113" s="90" t="str">
        <f>IF(ISERROR(VLOOKUP($T113, 'Reference data'!$J$2:$K$139, 2, FALSE)),"-",VLOOKUP($T113, 'Reference data'!$J$2:$K$139, 2, FALSE))</f>
        <v>-</v>
      </c>
      <c r="V113" s="308"/>
      <c r="W113" s="308"/>
      <c r="X113" s="312"/>
      <c r="Y113" s="313"/>
      <c r="Z113" s="228"/>
      <c r="AA113" s="352"/>
      <c r="AB113" s="82"/>
      <c r="AC113" s="71"/>
      <c r="AD113" s="70"/>
      <c r="AE113" s="226" t="s">
        <v>278</v>
      </c>
      <c r="AF113" s="230" t="s">
        <v>77</v>
      </c>
    </row>
    <row r="114" spans="2:32" ht="13" x14ac:dyDescent="0.3">
      <c r="B114" s="346" t="str">
        <f>IF(C114="","Skip",IF(AND(Validator!J608=TRUE,Validator!J108=TRUE,Validator!J358,Validator!J358=TRUE,Validator!J858=TRUE,Validator!J1108=TRUE,Validator!J1358=TRUE),"Valid","Invalid"))</f>
        <v>Skip</v>
      </c>
      <c r="C114" s="69"/>
      <c r="D114" s="407"/>
      <c r="E114" s="408"/>
      <c r="F114" s="519"/>
      <c r="G114" s="205"/>
      <c r="H114" s="519"/>
      <c r="I114" s="194"/>
      <c r="J114" s="414"/>
      <c r="K114" s="395"/>
      <c r="L114" s="412"/>
      <c r="M114" s="310"/>
      <c r="N114" s="413"/>
      <c r="O114" s="398" t="s">
        <v>278</v>
      </c>
      <c r="P114" s="399" t="s">
        <v>77</v>
      </c>
      <c r="Q114" s="348"/>
      <c r="R114" s="308"/>
      <c r="S114" s="349"/>
      <c r="T114" s="349"/>
      <c r="U114" s="90" t="str">
        <f>IF(ISERROR(VLOOKUP($T114, 'Reference data'!$J$2:$K$139, 2, FALSE)),"-",VLOOKUP($T114, 'Reference data'!$J$2:$K$139, 2, FALSE))</f>
        <v>-</v>
      </c>
      <c r="V114" s="308"/>
      <c r="W114" s="308"/>
      <c r="X114" s="312"/>
      <c r="Y114" s="313"/>
      <c r="Z114" s="228"/>
      <c r="AA114" s="352"/>
      <c r="AB114" s="82"/>
      <c r="AC114" s="71"/>
      <c r="AD114" s="70"/>
      <c r="AE114" s="226" t="s">
        <v>278</v>
      </c>
      <c r="AF114" s="230" t="s">
        <v>77</v>
      </c>
    </row>
    <row r="115" spans="2:32" ht="13" x14ac:dyDescent="0.3">
      <c r="B115" s="346" t="str">
        <f>IF(C115="","Skip",IF(AND(Validator!J609=TRUE,Validator!J109=TRUE,Validator!J359,Validator!J359=TRUE,Validator!J859=TRUE,Validator!J1109=TRUE,Validator!J1359=TRUE),"Valid","Invalid"))</f>
        <v>Skip</v>
      </c>
      <c r="C115" s="69"/>
      <c r="D115" s="407"/>
      <c r="E115" s="408"/>
      <c r="F115" s="519"/>
      <c r="G115" s="205"/>
      <c r="H115" s="519"/>
      <c r="I115" s="194"/>
      <c r="J115" s="414"/>
      <c r="K115" s="395"/>
      <c r="L115" s="412"/>
      <c r="M115" s="310"/>
      <c r="N115" s="413"/>
      <c r="O115" s="398" t="s">
        <v>278</v>
      </c>
      <c r="P115" s="399" t="s">
        <v>77</v>
      </c>
      <c r="Q115" s="348"/>
      <c r="R115" s="308"/>
      <c r="S115" s="349"/>
      <c r="T115" s="349"/>
      <c r="U115" s="90" t="str">
        <f>IF(ISERROR(VLOOKUP($T115, 'Reference data'!$J$2:$K$139, 2, FALSE)),"-",VLOOKUP($T115, 'Reference data'!$J$2:$K$139, 2, FALSE))</f>
        <v>-</v>
      </c>
      <c r="V115" s="308"/>
      <c r="W115" s="308"/>
      <c r="X115" s="312"/>
      <c r="Y115" s="313"/>
      <c r="Z115" s="228"/>
      <c r="AA115" s="352"/>
      <c r="AB115" s="82"/>
      <c r="AC115" s="71"/>
      <c r="AD115" s="70"/>
      <c r="AE115" s="226" t="s">
        <v>278</v>
      </c>
      <c r="AF115" s="230" t="s">
        <v>77</v>
      </c>
    </row>
    <row r="116" spans="2:32" ht="13" x14ac:dyDescent="0.3">
      <c r="B116" s="346" t="str">
        <f>IF(C116="","Skip",IF(AND(Validator!J610=TRUE,Validator!J110=TRUE,Validator!J360,Validator!J360=TRUE,Validator!J860=TRUE,Validator!J1110=TRUE,Validator!J1360=TRUE),"Valid","Invalid"))</f>
        <v>Skip</v>
      </c>
      <c r="C116" s="69"/>
      <c r="D116" s="407"/>
      <c r="E116" s="408"/>
      <c r="F116" s="519"/>
      <c r="G116" s="205"/>
      <c r="H116" s="519"/>
      <c r="I116" s="194"/>
      <c r="J116" s="414"/>
      <c r="K116" s="395"/>
      <c r="L116" s="412"/>
      <c r="M116" s="310"/>
      <c r="N116" s="413"/>
      <c r="O116" s="398" t="s">
        <v>278</v>
      </c>
      <c r="P116" s="399" t="s">
        <v>77</v>
      </c>
      <c r="Q116" s="348"/>
      <c r="R116" s="308"/>
      <c r="S116" s="349"/>
      <c r="T116" s="349"/>
      <c r="U116" s="90" t="str">
        <f>IF(ISERROR(VLOOKUP($T116, 'Reference data'!$J$2:$K$139, 2, FALSE)),"-",VLOOKUP($T116, 'Reference data'!$J$2:$K$139, 2, FALSE))</f>
        <v>-</v>
      </c>
      <c r="V116" s="308"/>
      <c r="W116" s="308"/>
      <c r="X116" s="312"/>
      <c r="Y116" s="313"/>
      <c r="Z116" s="228"/>
      <c r="AA116" s="352"/>
      <c r="AB116" s="82"/>
      <c r="AC116" s="71"/>
      <c r="AD116" s="70"/>
      <c r="AE116" s="226" t="s">
        <v>278</v>
      </c>
      <c r="AF116" s="230" t="s">
        <v>77</v>
      </c>
    </row>
    <row r="117" spans="2:32" ht="13" x14ac:dyDescent="0.3">
      <c r="B117" s="346" t="str">
        <f>IF(C117="","Skip",IF(AND(Validator!J611=TRUE,Validator!J111=TRUE,Validator!J361,Validator!J361=TRUE,Validator!J861=TRUE,Validator!J1111=TRUE,Validator!J1361=TRUE),"Valid","Invalid"))</f>
        <v>Skip</v>
      </c>
      <c r="C117" s="69"/>
      <c r="D117" s="407"/>
      <c r="E117" s="408"/>
      <c r="F117" s="519"/>
      <c r="G117" s="205"/>
      <c r="H117" s="519"/>
      <c r="I117" s="194"/>
      <c r="J117" s="414"/>
      <c r="K117" s="395"/>
      <c r="L117" s="412"/>
      <c r="M117" s="310"/>
      <c r="N117" s="413"/>
      <c r="O117" s="398" t="s">
        <v>278</v>
      </c>
      <c r="P117" s="399" t="s">
        <v>77</v>
      </c>
      <c r="Q117" s="348"/>
      <c r="R117" s="308"/>
      <c r="S117" s="349"/>
      <c r="T117" s="349"/>
      <c r="U117" s="90" t="str">
        <f>IF(ISERROR(VLOOKUP($T117, 'Reference data'!$J$2:$K$139, 2, FALSE)),"-",VLOOKUP($T117, 'Reference data'!$J$2:$K$139, 2, FALSE))</f>
        <v>-</v>
      </c>
      <c r="V117" s="308"/>
      <c r="W117" s="308"/>
      <c r="X117" s="312"/>
      <c r="Y117" s="313"/>
      <c r="Z117" s="228"/>
      <c r="AA117" s="352"/>
      <c r="AB117" s="82"/>
      <c r="AC117" s="71"/>
      <c r="AD117" s="70"/>
      <c r="AE117" s="226" t="s">
        <v>278</v>
      </c>
      <c r="AF117" s="230" t="s">
        <v>77</v>
      </c>
    </row>
    <row r="118" spans="2:32" ht="13" x14ac:dyDescent="0.3">
      <c r="B118" s="346" t="str">
        <f>IF(C118="","Skip",IF(AND(Validator!J612=TRUE,Validator!J112=TRUE,Validator!J362,Validator!J362=TRUE,Validator!J862=TRUE,Validator!J1112=TRUE,Validator!J1362=TRUE),"Valid","Invalid"))</f>
        <v>Skip</v>
      </c>
      <c r="C118" s="69"/>
      <c r="D118" s="407"/>
      <c r="E118" s="408"/>
      <c r="F118" s="519"/>
      <c r="G118" s="205"/>
      <c r="H118" s="519"/>
      <c r="I118" s="194"/>
      <c r="J118" s="414"/>
      <c r="K118" s="395"/>
      <c r="L118" s="412"/>
      <c r="M118" s="310"/>
      <c r="N118" s="413"/>
      <c r="O118" s="398" t="s">
        <v>278</v>
      </c>
      <c r="P118" s="399" t="s">
        <v>77</v>
      </c>
      <c r="Q118" s="348"/>
      <c r="R118" s="308"/>
      <c r="S118" s="349"/>
      <c r="T118" s="349"/>
      <c r="U118" s="90" t="str">
        <f>IF(ISERROR(VLOOKUP($T118, 'Reference data'!$J$2:$K$139, 2, FALSE)),"-",VLOOKUP($T118, 'Reference data'!$J$2:$K$139, 2, FALSE))</f>
        <v>-</v>
      </c>
      <c r="V118" s="308"/>
      <c r="W118" s="308"/>
      <c r="X118" s="312"/>
      <c r="Y118" s="313"/>
      <c r="Z118" s="228"/>
      <c r="AA118" s="352"/>
      <c r="AB118" s="82"/>
      <c r="AC118" s="71"/>
      <c r="AD118" s="70"/>
      <c r="AE118" s="226" t="s">
        <v>278</v>
      </c>
      <c r="AF118" s="230" t="s">
        <v>77</v>
      </c>
    </row>
    <row r="119" spans="2:32" ht="13" x14ac:dyDescent="0.3">
      <c r="B119" s="346" t="str">
        <f>IF(C119="","Skip",IF(AND(Validator!J613=TRUE,Validator!J113=TRUE,Validator!J363,Validator!J363=TRUE,Validator!J863=TRUE,Validator!J1113=TRUE,Validator!J1363=TRUE),"Valid","Invalid"))</f>
        <v>Skip</v>
      </c>
      <c r="C119" s="69"/>
      <c r="D119" s="407"/>
      <c r="E119" s="408"/>
      <c r="F119" s="519"/>
      <c r="G119" s="205"/>
      <c r="H119" s="519"/>
      <c r="I119" s="194"/>
      <c r="J119" s="414"/>
      <c r="K119" s="395"/>
      <c r="L119" s="412"/>
      <c r="M119" s="310"/>
      <c r="N119" s="413"/>
      <c r="O119" s="398" t="s">
        <v>278</v>
      </c>
      <c r="P119" s="399" t="s">
        <v>77</v>
      </c>
      <c r="Q119" s="348"/>
      <c r="R119" s="308"/>
      <c r="S119" s="349"/>
      <c r="T119" s="349"/>
      <c r="U119" s="90" t="str">
        <f>IF(ISERROR(VLOOKUP($T119, 'Reference data'!$J$2:$K$139, 2, FALSE)),"-",VLOOKUP($T119, 'Reference data'!$J$2:$K$139, 2, FALSE))</f>
        <v>-</v>
      </c>
      <c r="V119" s="308"/>
      <c r="W119" s="308"/>
      <c r="X119" s="312"/>
      <c r="Y119" s="313"/>
      <c r="Z119" s="228"/>
      <c r="AA119" s="352"/>
      <c r="AB119" s="82"/>
      <c r="AC119" s="71"/>
      <c r="AD119" s="70"/>
      <c r="AE119" s="226" t="s">
        <v>278</v>
      </c>
      <c r="AF119" s="230" t="s">
        <v>77</v>
      </c>
    </row>
    <row r="120" spans="2:32" ht="13" x14ac:dyDescent="0.3">
      <c r="B120" s="346" t="str">
        <f>IF(C120="","Skip",IF(AND(Validator!J614=TRUE,Validator!J114=TRUE,Validator!J364,Validator!J364=TRUE,Validator!J864=TRUE,Validator!J1114=TRUE,Validator!J1364=TRUE),"Valid","Invalid"))</f>
        <v>Skip</v>
      </c>
      <c r="C120" s="69"/>
      <c r="D120" s="407"/>
      <c r="E120" s="408"/>
      <c r="F120" s="519"/>
      <c r="G120" s="205"/>
      <c r="H120" s="519"/>
      <c r="I120" s="194"/>
      <c r="J120" s="414"/>
      <c r="K120" s="395"/>
      <c r="L120" s="412"/>
      <c r="M120" s="310"/>
      <c r="N120" s="413"/>
      <c r="O120" s="398" t="s">
        <v>278</v>
      </c>
      <c r="P120" s="399" t="s">
        <v>77</v>
      </c>
      <c r="Q120" s="348"/>
      <c r="R120" s="308"/>
      <c r="S120" s="349"/>
      <c r="T120" s="349"/>
      <c r="U120" s="90" t="str">
        <f>IF(ISERROR(VLOOKUP($T120, 'Reference data'!$J$2:$K$139, 2, FALSE)),"-",VLOOKUP($T120, 'Reference data'!$J$2:$K$139, 2, FALSE))</f>
        <v>-</v>
      </c>
      <c r="V120" s="308"/>
      <c r="W120" s="308"/>
      <c r="X120" s="312"/>
      <c r="Y120" s="313"/>
      <c r="Z120" s="228"/>
      <c r="AA120" s="352"/>
      <c r="AB120" s="82"/>
      <c r="AC120" s="71"/>
      <c r="AD120" s="70"/>
      <c r="AE120" s="226" t="s">
        <v>278</v>
      </c>
      <c r="AF120" s="230" t="s">
        <v>77</v>
      </c>
    </row>
    <row r="121" spans="2:32" ht="13" x14ac:dyDescent="0.3">
      <c r="B121" s="346" t="str">
        <f>IF(C121="","Skip",IF(AND(Validator!J615=TRUE,Validator!J115=TRUE,Validator!J365,Validator!J365=TRUE,Validator!J865=TRUE,Validator!J1115=TRUE,Validator!J1365=TRUE),"Valid","Invalid"))</f>
        <v>Skip</v>
      </c>
      <c r="C121" s="69"/>
      <c r="D121" s="407"/>
      <c r="E121" s="408"/>
      <c r="F121" s="519"/>
      <c r="G121" s="205"/>
      <c r="H121" s="519"/>
      <c r="I121" s="194"/>
      <c r="J121" s="414"/>
      <c r="K121" s="395"/>
      <c r="L121" s="412"/>
      <c r="M121" s="310"/>
      <c r="N121" s="413"/>
      <c r="O121" s="398" t="s">
        <v>278</v>
      </c>
      <c r="P121" s="399" t="s">
        <v>77</v>
      </c>
      <c r="Q121" s="348"/>
      <c r="R121" s="308"/>
      <c r="S121" s="349"/>
      <c r="T121" s="349"/>
      <c r="U121" s="90" t="str">
        <f>IF(ISERROR(VLOOKUP($T121, 'Reference data'!$J$2:$K$139, 2, FALSE)),"-",VLOOKUP($T121, 'Reference data'!$J$2:$K$139, 2, FALSE))</f>
        <v>-</v>
      </c>
      <c r="V121" s="308"/>
      <c r="W121" s="308"/>
      <c r="X121" s="312"/>
      <c r="Y121" s="313"/>
      <c r="Z121" s="228"/>
      <c r="AA121" s="352"/>
      <c r="AB121" s="82"/>
      <c r="AC121" s="71"/>
      <c r="AD121" s="70"/>
      <c r="AE121" s="226" t="s">
        <v>278</v>
      </c>
      <c r="AF121" s="230" t="s">
        <v>77</v>
      </c>
    </row>
    <row r="122" spans="2:32" ht="13" x14ac:dyDescent="0.3">
      <c r="B122" s="346" t="str">
        <f>IF(C122="","Skip",IF(AND(Validator!J616=TRUE,Validator!J116=TRUE,Validator!J366,Validator!J366=TRUE,Validator!J866=TRUE,Validator!J1116=TRUE,Validator!J1366=TRUE),"Valid","Invalid"))</f>
        <v>Skip</v>
      </c>
      <c r="C122" s="69"/>
      <c r="D122" s="407"/>
      <c r="E122" s="408"/>
      <c r="F122" s="519"/>
      <c r="G122" s="205"/>
      <c r="H122" s="519"/>
      <c r="I122" s="194"/>
      <c r="J122" s="414"/>
      <c r="K122" s="395"/>
      <c r="L122" s="412"/>
      <c r="M122" s="310"/>
      <c r="N122" s="413"/>
      <c r="O122" s="398" t="s">
        <v>278</v>
      </c>
      <c r="P122" s="399" t="s">
        <v>77</v>
      </c>
      <c r="Q122" s="348"/>
      <c r="R122" s="308"/>
      <c r="S122" s="349"/>
      <c r="T122" s="349"/>
      <c r="U122" s="90" t="str">
        <f>IF(ISERROR(VLOOKUP($T122, 'Reference data'!$J$2:$K$139, 2, FALSE)),"-",VLOOKUP($T122, 'Reference data'!$J$2:$K$139, 2, FALSE))</f>
        <v>-</v>
      </c>
      <c r="V122" s="308"/>
      <c r="W122" s="308"/>
      <c r="X122" s="312"/>
      <c r="Y122" s="313"/>
      <c r="Z122" s="228"/>
      <c r="AA122" s="352"/>
      <c r="AB122" s="82"/>
      <c r="AC122" s="71"/>
      <c r="AD122" s="70"/>
      <c r="AE122" s="226" t="s">
        <v>278</v>
      </c>
      <c r="AF122" s="230" t="s">
        <v>77</v>
      </c>
    </row>
    <row r="123" spans="2:32" ht="13" x14ac:dyDescent="0.3">
      <c r="B123" s="346" t="str">
        <f>IF(C123="","Skip",IF(AND(Validator!J617=TRUE,Validator!J117=TRUE,Validator!J367,Validator!J367=TRUE,Validator!J867=TRUE,Validator!J1117=TRUE,Validator!J1367=TRUE),"Valid","Invalid"))</f>
        <v>Skip</v>
      </c>
      <c r="C123" s="69"/>
      <c r="D123" s="407"/>
      <c r="E123" s="408"/>
      <c r="F123" s="519"/>
      <c r="G123" s="205"/>
      <c r="H123" s="519"/>
      <c r="I123" s="194"/>
      <c r="J123" s="414"/>
      <c r="K123" s="395"/>
      <c r="L123" s="412"/>
      <c r="M123" s="310"/>
      <c r="N123" s="413"/>
      <c r="O123" s="398" t="s">
        <v>278</v>
      </c>
      <c r="P123" s="399" t="s">
        <v>77</v>
      </c>
      <c r="Q123" s="348"/>
      <c r="R123" s="308"/>
      <c r="S123" s="349"/>
      <c r="T123" s="349"/>
      <c r="U123" s="90" t="str">
        <f>IF(ISERROR(VLOOKUP($T123, 'Reference data'!$J$2:$K$139, 2, FALSE)),"-",VLOOKUP($T123, 'Reference data'!$J$2:$K$139, 2, FALSE))</f>
        <v>-</v>
      </c>
      <c r="V123" s="308"/>
      <c r="W123" s="308"/>
      <c r="X123" s="312"/>
      <c r="Y123" s="313"/>
      <c r="Z123" s="228"/>
      <c r="AA123" s="352"/>
      <c r="AB123" s="82"/>
      <c r="AC123" s="71"/>
      <c r="AD123" s="70"/>
      <c r="AE123" s="226" t="s">
        <v>278</v>
      </c>
      <c r="AF123" s="230" t="s">
        <v>77</v>
      </c>
    </row>
    <row r="124" spans="2:32" ht="13" x14ac:dyDescent="0.3">
      <c r="B124" s="346" t="str">
        <f>IF(C124="","Skip",IF(AND(Validator!J618=TRUE,Validator!J118=TRUE,Validator!J368,Validator!J368=TRUE,Validator!J868=TRUE,Validator!J1118=TRUE,Validator!J1368=TRUE),"Valid","Invalid"))</f>
        <v>Skip</v>
      </c>
      <c r="C124" s="69"/>
      <c r="D124" s="407"/>
      <c r="E124" s="408"/>
      <c r="F124" s="519"/>
      <c r="G124" s="205"/>
      <c r="H124" s="519"/>
      <c r="I124" s="194"/>
      <c r="J124" s="414"/>
      <c r="K124" s="395"/>
      <c r="L124" s="412"/>
      <c r="M124" s="310"/>
      <c r="N124" s="413"/>
      <c r="O124" s="398" t="s">
        <v>278</v>
      </c>
      <c r="P124" s="399" t="s">
        <v>77</v>
      </c>
      <c r="Q124" s="348"/>
      <c r="R124" s="308"/>
      <c r="S124" s="349"/>
      <c r="T124" s="349"/>
      <c r="U124" s="90" t="str">
        <f>IF(ISERROR(VLOOKUP($T124, 'Reference data'!$J$2:$K$139, 2, FALSE)),"-",VLOOKUP($T124, 'Reference data'!$J$2:$K$139, 2, FALSE))</f>
        <v>-</v>
      </c>
      <c r="V124" s="308"/>
      <c r="W124" s="308"/>
      <c r="X124" s="312"/>
      <c r="Y124" s="313"/>
      <c r="Z124" s="228"/>
      <c r="AA124" s="352"/>
      <c r="AB124" s="82"/>
      <c r="AC124" s="71"/>
      <c r="AD124" s="70"/>
      <c r="AE124" s="226" t="s">
        <v>278</v>
      </c>
      <c r="AF124" s="230" t="s">
        <v>77</v>
      </c>
    </row>
    <row r="125" spans="2:32" ht="13" x14ac:dyDescent="0.3">
      <c r="B125" s="346" t="str">
        <f>IF(C125="","Skip",IF(AND(Validator!J619=TRUE,Validator!J119=TRUE,Validator!J369,Validator!J369=TRUE,Validator!J869=TRUE,Validator!J1119=TRUE,Validator!J1369=TRUE),"Valid","Invalid"))</f>
        <v>Skip</v>
      </c>
      <c r="C125" s="69"/>
      <c r="D125" s="407"/>
      <c r="E125" s="408"/>
      <c r="F125" s="519"/>
      <c r="G125" s="205"/>
      <c r="H125" s="519"/>
      <c r="I125" s="194"/>
      <c r="J125" s="414"/>
      <c r="K125" s="395"/>
      <c r="L125" s="412"/>
      <c r="M125" s="310"/>
      <c r="N125" s="413"/>
      <c r="O125" s="398" t="s">
        <v>278</v>
      </c>
      <c r="P125" s="399" t="s">
        <v>77</v>
      </c>
      <c r="Q125" s="348"/>
      <c r="R125" s="308"/>
      <c r="S125" s="349"/>
      <c r="T125" s="349"/>
      <c r="U125" s="90" t="str">
        <f>IF(ISERROR(VLOOKUP($T125, 'Reference data'!$J$2:$K$139, 2, FALSE)),"-",VLOOKUP($T125, 'Reference data'!$J$2:$K$139, 2, FALSE))</f>
        <v>-</v>
      </c>
      <c r="V125" s="308"/>
      <c r="W125" s="308"/>
      <c r="X125" s="312"/>
      <c r="Y125" s="313"/>
      <c r="Z125" s="228"/>
      <c r="AA125" s="352"/>
      <c r="AB125" s="82"/>
      <c r="AC125" s="71"/>
      <c r="AD125" s="70"/>
      <c r="AE125" s="226" t="s">
        <v>278</v>
      </c>
      <c r="AF125" s="230" t="s">
        <v>77</v>
      </c>
    </row>
    <row r="126" spans="2:32" ht="13" x14ac:dyDescent="0.3">
      <c r="B126" s="346" t="str">
        <f>IF(C126="","Skip",IF(AND(Validator!J620=TRUE,Validator!J120=TRUE,Validator!J370,Validator!J370=TRUE,Validator!J870=TRUE,Validator!J1120=TRUE,Validator!J1370=TRUE),"Valid","Invalid"))</f>
        <v>Skip</v>
      </c>
      <c r="C126" s="69"/>
      <c r="D126" s="407"/>
      <c r="E126" s="408"/>
      <c r="F126" s="519"/>
      <c r="G126" s="205"/>
      <c r="H126" s="519"/>
      <c r="I126" s="194"/>
      <c r="J126" s="414"/>
      <c r="K126" s="395"/>
      <c r="L126" s="412"/>
      <c r="M126" s="310"/>
      <c r="N126" s="413"/>
      <c r="O126" s="398" t="s">
        <v>278</v>
      </c>
      <c r="P126" s="399" t="s">
        <v>77</v>
      </c>
      <c r="Q126" s="348"/>
      <c r="R126" s="308"/>
      <c r="S126" s="349"/>
      <c r="T126" s="349"/>
      <c r="U126" s="90" t="str">
        <f>IF(ISERROR(VLOOKUP($T126, 'Reference data'!$J$2:$K$139, 2, FALSE)),"-",VLOOKUP($T126, 'Reference data'!$J$2:$K$139, 2, FALSE))</f>
        <v>-</v>
      </c>
      <c r="V126" s="308"/>
      <c r="W126" s="308"/>
      <c r="X126" s="312"/>
      <c r="Y126" s="313"/>
      <c r="Z126" s="228"/>
      <c r="AA126" s="352"/>
      <c r="AB126" s="82"/>
      <c r="AC126" s="71"/>
      <c r="AD126" s="70"/>
      <c r="AE126" s="226" t="s">
        <v>278</v>
      </c>
      <c r="AF126" s="230" t="s">
        <v>77</v>
      </c>
    </row>
    <row r="127" spans="2:32" ht="13" x14ac:dyDescent="0.3">
      <c r="B127" s="346" t="str">
        <f>IF(C127="","Skip",IF(AND(Validator!J621=TRUE,Validator!J121=TRUE,Validator!J371,Validator!J371=TRUE,Validator!J871=TRUE,Validator!J1121=TRUE,Validator!J1371=TRUE),"Valid","Invalid"))</f>
        <v>Skip</v>
      </c>
      <c r="C127" s="69"/>
      <c r="D127" s="407"/>
      <c r="E127" s="408"/>
      <c r="F127" s="519"/>
      <c r="G127" s="205"/>
      <c r="H127" s="519"/>
      <c r="I127" s="194"/>
      <c r="J127" s="414"/>
      <c r="K127" s="395"/>
      <c r="L127" s="412"/>
      <c r="M127" s="310"/>
      <c r="N127" s="413"/>
      <c r="O127" s="398" t="s">
        <v>278</v>
      </c>
      <c r="P127" s="399" t="s">
        <v>77</v>
      </c>
      <c r="Q127" s="348"/>
      <c r="R127" s="308"/>
      <c r="S127" s="349"/>
      <c r="T127" s="349"/>
      <c r="U127" s="90" t="str">
        <f>IF(ISERROR(VLOOKUP($T127, 'Reference data'!$J$2:$K$139, 2, FALSE)),"-",VLOOKUP($T127, 'Reference data'!$J$2:$K$139, 2, FALSE))</f>
        <v>-</v>
      </c>
      <c r="V127" s="308"/>
      <c r="W127" s="308"/>
      <c r="X127" s="312"/>
      <c r="Y127" s="313"/>
      <c r="Z127" s="228"/>
      <c r="AA127" s="352"/>
      <c r="AB127" s="82"/>
      <c r="AC127" s="71"/>
      <c r="AD127" s="70"/>
      <c r="AE127" s="226" t="s">
        <v>278</v>
      </c>
      <c r="AF127" s="230" t="s">
        <v>77</v>
      </c>
    </row>
    <row r="128" spans="2:32" ht="13" x14ac:dyDescent="0.3">
      <c r="B128" s="346" t="str">
        <f>IF(C128="","Skip",IF(AND(Validator!J622=TRUE,Validator!J122=TRUE,Validator!J372,Validator!J372=TRUE,Validator!J872=TRUE,Validator!J1122=TRUE,Validator!J1372=TRUE),"Valid","Invalid"))</f>
        <v>Skip</v>
      </c>
      <c r="C128" s="69"/>
      <c r="D128" s="407"/>
      <c r="E128" s="408"/>
      <c r="F128" s="519"/>
      <c r="G128" s="205"/>
      <c r="H128" s="519"/>
      <c r="I128" s="194"/>
      <c r="J128" s="414"/>
      <c r="K128" s="395"/>
      <c r="L128" s="412"/>
      <c r="M128" s="310"/>
      <c r="N128" s="413"/>
      <c r="O128" s="398" t="s">
        <v>278</v>
      </c>
      <c r="P128" s="399" t="s">
        <v>77</v>
      </c>
      <c r="Q128" s="348"/>
      <c r="R128" s="308"/>
      <c r="S128" s="349"/>
      <c r="T128" s="349"/>
      <c r="U128" s="90" t="str">
        <f>IF(ISERROR(VLOOKUP($T128, 'Reference data'!$J$2:$K$139, 2, FALSE)),"-",VLOOKUP($T128, 'Reference data'!$J$2:$K$139, 2, FALSE))</f>
        <v>-</v>
      </c>
      <c r="V128" s="308"/>
      <c r="W128" s="308"/>
      <c r="X128" s="312"/>
      <c r="Y128" s="313"/>
      <c r="Z128" s="228"/>
      <c r="AA128" s="352"/>
      <c r="AB128" s="82"/>
      <c r="AC128" s="71"/>
      <c r="AD128" s="70"/>
      <c r="AE128" s="226" t="s">
        <v>278</v>
      </c>
      <c r="AF128" s="230" t="s">
        <v>77</v>
      </c>
    </row>
    <row r="129" spans="2:32" ht="13" x14ac:dyDescent="0.3">
      <c r="B129" s="346" t="str">
        <f>IF(C129="","Skip",IF(AND(Validator!J623=TRUE,Validator!J123=TRUE,Validator!J373,Validator!J373=TRUE,Validator!J873=TRUE,Validator!J1123=TRUE,Validator!J1373=TRUE),"Valid","Invalid"))</f>
        <v>Skip</v>
      </c>
      <c r="C129" s="69"/>
      <c r="D129" s="407"/>
      <c r="E129" s="408"/>
      <c r="F129" s="519"/>
      <c r="G129" s="205"/>
      <c r="H129" s="519"/>
      <c r="I129" s="194"/>
      <c r="J129" s="414"/>
      <c r="K129" s="395"/>
      <c r="L129" s="412"/>
      <c r="M129" s="310"/>
      <c r="N129" s="413"/>
      <c r="O129" s="398" t="s">
        <v>278</v>
      </c>
      <c r="P129" s="399" t="s">
        <v>77</v>
      </c>
      <c r="Q129" s="348"/>
      <c r="R129" s="308"/>
      <c r="S129" s="349"/>
      <c r="T129" s="349"/>
      <c r="U129" s="90" t="str">
        <f>IF(ISERROR(VLOOKUP($T129, 'Reference data'!$J$2:$K$139, 2, FALSE)),"-",VLOOKUP($T129, 'Reference data'!$J$2:$K$139, 2, FALSE))</f>
        <v>-</v>
      </c>
      <c r="V129" s="308"/>
      <c r="W129" s="308"/>
      <c r="X129" s="312"/>
      <c r="Y129" s="313"/>
      <c r="Z129" s="228"/>
      <c r="AA129" s="352"/>
      <c r="AB129" s="82"/>
      <c r="AC129" s="71"/>
      <c r="AD129" s="70"/>
      <c r="AE129" s="226" t="s">
        <v>278</v>
      </c>
      <c r="AF129" s="230" t="s">
        <v>77</v>
      </c>
    </row>
    <row r="130" spans="2:32" ht="13" x14ac:dyDescent="0.3">
      <c r="B130" s="346" t="str">
        <f>IF(C130="","Skip",IF(AND(Validator!J624=TRUE,Validator!J124=TRUE,Validator!J374,Validator!J374=TRUE,Validator!J874=TRUE,Validator!J1124=TRUE,Validator!J1374=TRUE),"Valid","Invalid"))</f>
        <v>Skip</v>
      </c>
      <c r="C130" s="69"/>
      <c r="D130" s="407"/>
      <c r="E130" s="408"/>
      <c r="F130" s="519"/>
      <c r="G130" s="205"/>
      <c r="H130" s="519"/>
      <c r="I130" s="194"/>
      <c r="J130" s="414"/>
      <c r="K130" s="395"/>
      <c r="L130" s="412"/>
      <c r="M130" s="310"/>
      <c r="N130" s="413"/>
      <c r="O130" s="398" t="s">
        <v>278</v>
      </c>
      <c r="P130" s="399" t="s">
        <v>77</v>
      </c>
      <c r="Q130" s="348"/>
      <c r="R130" s="308"/>
      <c r="S130" s="349"/>
      <c r="T130" s="349"/>
      <c r="U130" s="90" t="str">
        <f>IF(ISERROR(VLOOKUP($T130, 'Reference data'!$J$2:$K$139, 2, FALSE)),"-",VLOOKUP($T130, 'Reference data'!$J$2:$K$139, 2, FALSE))</f>
        <v>-</v>
      </c>
      <c r="V130" s="308"/>
      <c r="W130" s="308"/>
      <c r="X130" s="312"/>
      <c r="Y130" s="313"/>
      <c r="Z130" s="228"/>
      <c r="AA130" s="352"/>
      <c r="AB130" s="82"/>
      <c r="AC130" s="71"/>
      <c r="AD130" s="70"/>
      <c r="AE130" s="226" t="s">
        <v>278</v>
      </c>
      <c r="AF130" s="230" t="s">
        <v>77</v>
      </c>
    </row>
    <row r="131" spans="2:32" ht="13" x14ac:dyDescent="0.3">
      <c r="B131" s="346" t="str">
        <f>IF(C131="","Skip",IF(AND(Validator!J625=TRUE,Validator!J125=TRUE,Validator!J375,Validator!J375=TRUE,Validator!J875=TRUE,Validator!J1125=TRUE,Validator!J1375=TRUE),"Valid","Invalid"))</f>
        <v>Skip</v>
      </c>
      <c r="C131" s="69"/>
      <c r="D131" s="407"/>
      <c r="E131" s="408"/>
      <c r="F131" s="519"/>
      <c r="G131" s="205"/>
      <c r="H131" s="519"/>
      <c r="I131" s="194"/>
      <c r="J131" s="414"/>
      <c r="K131" s="395"/>
      <c r="L131" s="412"/>
      <c r="M131" s="310"/>
      <c r="N131" s="413"/>
      <c r="O131" s="398" t="s">
        <v>278</v>
      </c>
      <c r="P131" s="399" t="s">
        <v>77</v>
      </c>
      <c r="Q131" s="348"/>
      <c r="R131" s="308"/>
      <c r="S131" s="349"/>
      <c r="T131" s="349"/>
      <c r="U131" s="90" t="str">
        <f>IF(ISERROR(VLOOKUP($T131, 'Reference data'!$J$2:$K$139, 2, FALSE)),"-",VLOOKUP($T131, 'Reference data'!$J$2:$K$139, 2, FALSE))</f>
        <v>-</v>
      </c>
      <c r="V131" s="308"/>
      <c r="W131" s="308"/>
      <c r="X131" s="312"/>
      <c r="Y131" s="313"/>
      <c r="Z131" s="228"/>
      <c r="AA131" s="352"/>
      <c r="AB131" s="82"/>
      <c r="AC131" s="71"/>
      <c r="AD131" s="70"/>
      <c r="AE131" s="226" t="s">
        <v>278</v>
      </c>
      <c r="AF131" s="230" t="s">
        <v>77</v>
      </c>
    </row>
    <row r="132" spans="2:32" ht="13" x14ac:dyDescent="0.3">
      <c r="B132" s="346" t="str">
        <f>IF(C132="","Skip",IF(AND(Validator!J626=TRUE,Validator!J126=TRUE,Validator!J376,Validator!J376=TRUE,Validator!J876=TRUE,Validator!J1126=TRUE,Validator!J1376=TRUE),"Valid","Invalid"))</f>
        <v>Skip</v>
      </c>
      <c r="C132" s="69"/>
      <c r="D132" s="407"/>
      <c r="E132" s="408"/>
      <c r="F132" s="519"/>
      <c r="G132" s="205"/>
      <c r="H132" s="519"/>
      <c r="I132" s="194"/>
      <c r="J132" s="414"/>
      <c r="K132" s="395"/>
      <c r="L132" s="412"/>
      <c r="M132" s="310"/>
      <c r="N132" s="413"/>
      <c r="O132" s="398" t="s">
        <v>278</v>
      </c>
      <c r="P132" s="399" t="s">
        <v>77</v>
      </c>
      <c r="Q132" s="348"/>
      <c r="R132" s="308"/>
      <c r="S132" s="349"/>
      <c r="T132" s="349"/>
      <c r="U132" s="90" t="str">
        <f>IF(ISERROR(VLOOKUP($T132, 'Reference data'!$J$2:$K$139, 2, FALSE)),"-",VLOOKUP($T132, 'Reference data'!$J$2:$K$139, 2, FALSE))</f>
        <v>-</v>
      </c>
      <c r="V132" s="308"/>
      <c r="W132" s="308"/>
      <c r="X132" s="312"/>
      <c r="Y132" s="313"/>
      <c r="Z132" s="228"/>
      <c r="AA132" s="352"/>
      <c r="AB132" s="82"/>
      <c r="AC132" s="71"/>
      <c r="AD132" s="70"/>
      <c r="AE132" s="226" t="s">
        <v>278</v>
      </c>
      <c r="AF132" s="230" t="s">
        <v>77</v>
      </c>
    </row>
    <row r="133" spans="2:32" ht="13" x14ac:dyDescent="0.3">
      <c r="B133" s="346" t="str">
        <f>IF(C133="","Skip",IF(AND(Validator!J627=TRUE,Validator!J127=TRUE,Validator!J377,Validator!J377=TRUE,Validator!J877=TRUE,Validator!J1127=TRUE,Validator!J1377=TRUE),"Valid","Invalid"))</f>
        <v>Skip</v>
      </c>
      <c r="C133" s="69"/>
      <c r="D133" s="407"/>
      <c r="E133" s="408"/>
      <c r="F133" s="519"/>
      <c r="G133" s="205"/>
      <c r="H133" s="519"/>
      <c r="I133" s="194"/>
      <c r="J133" s="414"/>
      <c r="K133" s="395"/>
      <c r="L133" s="412"/>
      <c r="M133" s="310"/>
      <c r="N133" s="413"/>
      <c r="O133" s="398" t="s">
        <v>278</v>
      </c>
      <c r="P133" s="399" t="s">
        <v>77</v>
      </c>
      <c r="Q133" s="348"/>
      <c r="R133" s="308"/>
      <c r="S133" s="349"/>
      <c r="T133" s="349"/>
      <c r="U133" s="90" t="str">
        <f>IF(ISERROR(VLOOKUP($T133, 'Reference data'!$J$2:$K$139, 2, FALSE)),"-",VLOOKUP($T133, 'Reference data'!$J$2:$K$139, 2, FALSE))</f>
        <v>-</v>
      </c>
      <c r="V133" s="308"/>
      <c r="W133" s="308"/>
      <c r="X133" s="312"/>
      <c r="Y133" s="313"/>
      <c r="Z133" s="228"/>
      <c r="AA133" s="352"/>
      <c r="AB133" s="82"/>
      <c r="AC133" s="71"/>
      <c r="AD133" s="70"/>
      <c r="AE133" s="226" t="s">
        <v>278</v>
      </c>
      <c r="AF133" s="230" t="s">
        <v>77</v>
      </c>
    </row>
    <row r="134" spans="2:32" ht="13" x14ac:dyDescent="0.3">
      <c r="B134" s="346" t="str">
        <f>IF(C134="","Skip",IF(AND(Validator!J628=TRUE,Validator!J128=TRUE,Validator!J378,Validator!J378=TRUE,Validator!J878=TRUE,Validator!J1128=TRUE,Validator!J1378=TRUE),"Valid","Invalid"))</f>
        <v>Skip</v>
      </c>
      <c r="C134" s="69"/>
      <c r="D134" s="407"/>
      <c r="E134" s="408"/>
      <c r="F134" s="519"/>
      <c r="G134" s="205"/>
      <c r="H134" s="519"/>
      <c r="I134" s="194"/>
      <c r="J134" s="414"/>
      <c r="K134" s="395"/>
      <c r="L134" s="412"/>
      <c r="M134" s="310"/>
      <c r="N134" s="413"/>
      <c r="O134" s="398" t="s">
        <v>278</v>
      </c>
      <c r="P134" s="399" t="s">
        <v>77</v>
      </c>
      <c r="Q134" s="348"/>
      <c r="R134" s="308"/>
      <c r="S134" s="349"/>
      <c r="T134" s="349"/>
      <c r="U134" s="90" t="str">
        <f>IF(ISERROR(VLOOKUP($T134, 'Reference data'!$J$2:$K$139, 2, FALSE)),"-",VLOOKUP($T134, 'Reference data'!$J$2:$K$139, 2, FALSE))</f>
        <v>-</v>
      </c>
      <c r="V134" s="308"/>
      <c r="W134" s="308"/>
      <c r="X134" s="312"/>
      <c r="Y134" s="313"/>
      <c r="Z134" s="228"/>
      <c r="AA134" s="352"/>
      <c r="AB134" s="82"/>
      <c r="AC134" s="71"/>
      <c r="AD134" s="70"/>
      <c r="AE134" s="226" t="s">
        <v>278</v>
      </c>
      <c r="AF134" s="230" t="s">
        <v>77</v>
      </c>
    </row>
    <row r="135" spans="2:32" ht="13" x14ac:dyDescent="0.3">
      <c r="B135" s="346" t="str">
        <f>IF(C135="","Skip",IF(AND(Validator!J629=TRUE,Validator!J129=TRUE,Validator!J379,Validator!J379=TRUE,Validator!J879=TRUE,Validator!J1129=TRUE,Validator!J1379=TRUE),"Valid","Invalid"))</f>
        <v>Skip</v>
      </c>
      <c r="C135" s="69"/>
      <c r="D135" s="407"/>
      <c r="E135" s="408"/>
      <c r="F135" s="519"/>
      <c r="G135" s="205"/>
      <c r="H135" s="519"/>
      <c r="I135" s="194"/>
      <c r="J135" s="414"/>
      <c r="K135" s="395"/>
      <c r="L135" s="412"/>
      <c r="M135" s="310"/>
      <c r="N135" s="413"/>
      <c r="O135" s="398" t="s">
        <v>278</v>
      </c>
      <c r="P135" s="399" t="s">
        <v>77</v>
      </c>
      <c r="Q135" s="348"/>
      <c r="R135" s="308"/>
      <c r="S135" s="349"/>
      <c r="T135" s="349"/>
      <c r="U135" s="90" t="str">
        <f>IF(ISERROR(VLOOKUP($T135, 'Reference data'!$J$2:$K$139, 2, FALSE)),"-",VLOOKUP($T135, 'Reference data'!$J$2:$K$139, 2, FALSE))</f>
        <v>-</v>
      </c>
      <c r="V135" s="308"/>
      <c r="W135" s="308"/>
      <c r="X135" s="312"/>
      <c r="Y135" s="313"/>
      <c r="Z135" s="228"/>
      <c r="AA135" s="352"/>
      <c r="AB135" s="82"/>
      <c r="AC135" s="71"/>
      <c r="AD135" s="70"/>
      <c r="AE135" s="226" t="s">
        <v>278</v>
      </c>
      <c r="AF135" s="230" t="s">
        <v>77</v>
      </c>
    </row>
    <row r="136" spans="2:32" ht="13" x14ac:dyDescent="0.3">
      <c r="B136" s="346" t="str">
        <f>IF(C136="","Skip",IF(AND(Validator!J630=TRUE,Validator!J130=TRUE,Validator!J380,Validator!J380=TRUE,Validator!J880=TRUE,Validator!J1130=TRUE,Validator!J1380=TRUE),"Valid","Invalid"))</f>
        <v>Skip</v>
      </c>
      <c r="C136" s="69"/>
      <c r="D136" s="407"/>
      <c r="E136" s="408"/>
      <c r="F136" s="519"/>
      <c r="G136" s="205"/>
      <c r="H136" s="519"/>
      <c r="I136" s="194"/>
      <c r="J136" s="414"/>
      <c r="K136" s="395"/>
      <c r="L136" s="412"/>
      <c r="M136" s="310"/>
      <c r="N136" s="413"/>
      <c r="O136" s="398" t="s">
        <v>278</v>
      </c>
      <c r="P136" s="399" t="s">
        <v>77</v>
      </c>
      <c r="Q136" s="348"/>
      <c r="R136" s="308"/>
      <c r="S136" s="349"/>
      <c r="T136" s="349"/>
      <c r="U136" s="90" t="str">
        <f>IF(ISERROR(VLOOKUP($T136, 'Reference data'!$J$2:$K$139, 2, FALSE)),"-",VLOOKUP($T136, 'Reference data'!$J$2:$K$139, 2, FALSE))</f>
        <v>-</v>
      </c>
      <c r="V136" s="308"/>
      <c r="W136" s="308"/>
      <c r="X136" s="312"/>
      <c r="Y136" s="313"/>
      <c r="Z136" s="228"/>
      <c r="AA136" s="352"/>
      <c r="AB136" s="82"/>
      <c r="AC136" s="71"/>
      <c r="AD136" s="70"/>
      <c r="AE136" s="226" t="s">
        <v>278</v>
      </c>
      <c r="AF136" s="230" t="s">
        <v>77</v>
      </c>
    </row>
    <row r="137" spans="2:32" ht="13" x14ac:dyDescent="0.3">
      <c r="B137" s="346" t="str">
        <f>IF(C137="","Skip",IF(AND(Validator!J631=TRUE,Validator!J131=TRUE,Validator!J381,Validator!J381=TRUE,Validator!J881=TRUE,Validator!J1131=TRUE,Validator!J1381=TRUE),"Valid","Invalid"))</f>
        <v>Skip</v>
      </c>
      <c r="C137" s="69"/>
      <c r="D137" s="407"/>
      <c r="E137" s="408"/>
      <c r="F137" s="519"/>
      <c r="G137" s="205"/>
      <c r="H137" s="519"/>
      <c r="I137" s="194"/>
      <c r="J137" s="414"/>
      <c r="K137" s="395"/>
      <c r="L137" s="412"/>
      <c r="M137" s="310"/>
      <c r="N137" s="413"/>
      <c r="O137" s="398" t="s">
        <v>278</v>
      </c>
      <c r="P137" s="399" t="s">
        <v>77</v>
      </c>
      <c r="Q137" s="348"/>
      <c r="R137" s="308"/>
      <c r="S137" s="349"/>
      <c r="T137" s="349"/>
      <c r="U137" s="90" t="str">
        <f>IF(ISERROR(VLOOKUP($T137, 'Reference data'!$J$2:$K$139, 2, FALSE)),"-",VLOOKUP($T137, 'Reference data'!$J$2:$K$139, 2, FALSE))</f>
        <v>-</v>
      </c>
      <c r="V137" s="308"/>
      <c r="W137" s="308"/>
      <c r="X137" s="312"/>
      <c r="Y137" s="313"/>
      <c r="Z137" s="228"/>
      <c r="AA137" s="352"/>
      <c r="AB137" s="82"/>
      <c r="AC137" s="71"/>
      <c r="AD137" s="70"/>
      <c r="AE137" s="226" t="s">
        <v>278</v>
      </c>
      <c r="AF137" s="230" t="s">
        <v>77</v>
      </c>
    </row>
    <row r="138" spans="2:32" ht="13" x14ac:dyDescent="0.3">
      <c r="B138" s="346" t="str">
        <f>IF(C138="","Skip",IF(AND(Validator!J632=TRUE,Validator!J132=TRUE,Validator!J382,Validator!J382=TRUE,Validator!J882=TRUE,Validator!J1132=TRUE,Validator!J1382=TRUE),"Valid","Invalid"))</f>
        <v>Skip</v>
      </c>
      <c r="C138" s="69"/>
      <c r="D138" s="407"/>
      <c r="E138" s="408"/>
      <c r="F138" s="519"/>
      <c r="G138" s="205"/>
      <c r="H138" s="519"/>
      <c r="I138" s="194"/>
      <c r="J138" s="414"/>
      <c r="K138" s="395"/>
      <c r="L138" s="412"/>
      <c r="M138" s="310"/>
      <c r="N138" s="413"/>
      <c r="O138" s="398" t="s">
        <v>278</v>
      </c>
      <c r="P138" s="399" t="s">
        <v>77</v>
      </c>
      <c r="Q138" s="348"/>
      <c r="R138" s="308"/>
      <c r="S138" s="349"/>
      <c r="T138" s="349"/>
      <c r="U138" s="90" t="str">
        <f>IF(ISERROR(VLOOKUP($T138, 'Reference data'!$J$2:$K$139, 2, FALSE)),"-",VLOOKUP($T138, 'Reference data'!$J$2:$K$139, 2, FALSE))</f>
        <v>-</v>
      </c>
      <c r="V138" s="308"/>
      <c r="W138" s="308"/>
      <c r="X138" s="312"/>
      <c r="Y138" s="313"/>
      <c r="Z138" s="228"/>
      <c r="AA138" s="352"/>
      <c r="AB138" s="82"/>
      <c r="AC138" s="71"/>
      <c r="AD138" s="70"/>
      <c r="AE138" s="226" t="s">
        <v>278</v>
      </c>
      <c r="AF138" s="230" t="s">
        <v>77</v>
      </c>
    </row>
    <row r="139" spans="2:32" ht="13" x14ac:dyDescent="0.3">
      <c r="B139" s="346" t="str">
        <f>IF(C139="","Skip",IF(AND(Validator!J633=TRUE,Validator!J133=TRUE,Validator!J383,Validator!J383=TRUE,Validator!J883=TRUE,Validator!J1133=TRUE,Validator!J1383=TRUE),"Valid","Invalid"))</f>
        <v>Skip</v>
      </c>
      <c r="C139" s="69"/>
      <c r="D139" s="407"/>
      <c r="E139" s="408"/>
      <c r="F139" s="519"/>
      <c r="G139" s="205"/>
      <c r="H139" s="519"/>
      <c r="I139" s="194"/>
      <c r="J139" s="414"/>
      <c r="K139" s="395"/>
      <c r="L139" s="412"/>
      <c r="M139" s="310"/>
      <c r="N139" s="413"/>
      <c r="O139" s="398" t="s">
        <v>278</v>
      </c>
      <c r="P139" s="399" t="s">
        <v>77</v>
      </c>
      <c r="Q139" s="348"/>
      <c r="R139" s="308"/>
      <c r="S139" s="349"/>
      <c r="T139" s="349"/>
      <c r="U139" s="90" t="str">
        <f>IF(ISERROR(VLOOKUP($T139, 'Reference data'!$J$2:$K$139, 2, FALSE)),"-",VLOOKUP($T139, 'Reference data'!$J$2:$K$139, 2, FALSE))</f>
        <v>-</v>
      </c>
      <c r="V139" s="308"/>
      <c r="W139" s="308"/>
      <c r="X139" s="312"/>
      <c r="Y139" s="313"/>
      <c r="Z139" s="228"/>
      <c r="AA139" s="352"/>
      <c r="AB139" s="82"/>
      <c r="AC139" s="71"/>
      <c r="AD139" s="70"/>
      <c r="AE139" s="226" t="s">
        <v>278</v>
      </c>
      <c r="AF139" s="230" t="s">
        <v>77</v>
      </c>
    </row>
    <row r="140" spans="2:32" ht="13" x14ac:dyDescent="0.3">
      <c r="B140" s="346" t="str">
        <f>IF(C140="","Skip",IF(AND(Validator!J634=TRUE,Validator!J134=TRUE,Validator!J384,Validator!J384=TRUE,Validator!J884=TRUE,Validator!J1134=TRUE,Validator!J1384=TRUE),"Valid","Invalid"))</f>
        <v>Skip</v>
      </c>
      <c r="C140" s="69"/>
      <c r="D140" s="407"/>
      <c r="E140" s="408"/>
      <c r="F140" s="519"/>
      <c r="G140" s="205"/>
      <c r="H140" s="519"/>
      <c r="I140" s="194"/>
      <c r="J140" s="414"/>
      <c r="K140" s="395"/>
      <c r="L140" s="412"/>
      <c r="M140" s="310"/>
      <c r="N140" s="413"/>
      <c r="O140" s="398" t="s">
        <v>278</v>
      </c>
      <c r="P140" s="399" t="s">
        <v>77</v>
      </c>
      <c r="Q140" s="348"/>
      <c r="R140" s="308"/>
      <c r="S140" s="349"/>
      <c r="T140" s="349"/>
      <c r="U140" s="90" t="str">
        <f>IF(ISERROR(VLOOKUP($T140, 'Reference data'!$J$2:$K$139, 2, FALSE)),"-",VLOOKUP($T140, 'Reference data'!$J$2:$K$139, 2, FALSE))</f>
        <v>-</v>
      </c>
      <c r="V140" s="308"/>
      <c r="W140" s="308"/>
      <c r="X140" s="312"/>
      <c r="Y140" s="313"/>
      <c r="Z140" s="228"/>
      <c r="AA140" s="352"/>
      <c r="AB140" s="82"/>
      <c r="AC140" s="71"/>
      <c r="AD140" s="70"/>
      <c r="AE140" s="226" t="s">
        <v>278</v>
      </c>
      <c r="AF140" s="230" t="s">
        <v>77</v>
      </c>
    </row>
    <row r="141" spans="2:32" ht="13" x14ac:dyDescent="0.3">
      <c r="B141" s="346" t="str">
        <f>IF(C141="","Skip",IF(AND(Validator!J635=TRUE,Validator!J135=TRUE,Validator!J385,Validator!J385=TRUE,Validator!J885=TRUE,Validator!J1135=TRUE,Validator!J1385=TRUE),"Valid","Invalid"))</f>
        <v>Skip</v>
      </c>
      <c r="C141" s="69"/>
      <c r="D141" s="407"/>
      <c r="E141" s="408"/>
      <c r="F141" s="519"/>
      <c r="G141" s="205"/>
      <c r="H141" s="519"/>
      <c r="I141" s="194"/>
      <c r="J141" s="414"/>
      <c r="K141" s="395"/>
      <c r="L141" s="412"/>
      <c r="M141" s="310"/>
      <c r="N141" s="413"/>
      <c r="O141" s="398" t="s">
        <v>278</v>
      </c>
      <c r="P141" s="399" t="s">
        <v>77</v>
      </c>
      <c r="Q141" s="348"/>
      <c r="R141" s="308"/>
      <c r="S141" s="349"/>
      <c r="T141" s="349"/>
      <c r="U141" s="90" t="str">
        <f>IF(ISERROR(VLOOKUP($T141, 'Reference data'!$J$2:$K$139, 2, FALSE)),"-",VLOOKUP($T141, 'Reference data'!$J$2:$K$139, 2, FALSE))</f>
        <v>-</v>
      </c>
      <c r="V141" s="308"/>
      <c r="W141" s="308"/>
      <c r="X141" s="312"/>
      <c r="Y141" s="313"/>
      <c r="Z141" s="228"/>
      <c r="AA141" s="352"/>
      <c r="AB141" s="82"/>
      <c r="AC141" s="71"/>
      <c r="AD141" s="70"/>
      <c r="AE141" s="226" t="s">
        <v>278</v>
      </c>
      <c r="AF141" s="230" t="s">
        <v>77</v>
      </c>
    </row>
    <row r="142" spans="2:32" ht="13" x14ac:dyDescent="0.3">
      <c r="B142" s="346" t="str">
        <f>IF(C142="","Skip",IF(AND(Validator!J636=TRUE,Validator!J136=TRUE,Validator!J386,Validator!J386=TRUE,Validator!J886=TRUE,Validator!J1136=TRUE,Validator!J1386=TRUE),"Valid","Invalid"))</f>
        <v>Skip</v>
      </c>
      <c r="C142" s="69"/>
      <c r="D142" s="407"/>
      <c r="E142" s="408"/>
      <c r="F142" s="519"/>
      <c r="G142" s="205"/>
      <c r="H142" s="519"/>
      <c r="I142" s="194"/>
      <c r="J142" s="414"/>
      <c r="K142" s="395"/>
      <c r="L142" s="412"/>
      <c r="M142" s="310"/>
      <c r="N142" s="413"/>
      <c r="O142" s="398" t="s">
        <v>278</v>
      </c>
      <c r="P142" s="399" t="s">
        <v>77</v>
      </c>
      <c r="Q142" s="348"/>
      <c r="R142" s="308"/>
      <c r="S142" s="349"/>
      <c r="T142" s="349"/>
      <c r="U142" s="90" t="str">
        <f>IF(ISERROR(VLOOKUP($T142, 'Reference data'!$J$2:$K$139, 2, FALSE)),"-",VLOOKUP($T142, 'Reference data'!$J$2:$K$139, 2, FALSE))</f>
        <v>-</v>
      </c>
      <c r="V142" s="308"/>
      <c r="W142" s="308"/>
      <c r="X142" s="312"/>
      <c r="Y142" s="313"/>
      <c r="Z142" s="228"/>
      <c r="AA142" s="352"/>
      <c r="AB142" s="82"/>
      <c r="AC142" s="71"/>
      <c r="AD142" s="70"/>
      <c r="AE142" s="226" t="s">
        <v>278</v>
      </c>
      <c r="AF142" s="230" t="s">
        <v>77</v>
      </c>
    </row>
    <row r="143" spans="2:32" ht="13" x14ac:dyDescent="0.3">
      <c r="B143" s="346" t="str">
        <f>IF(C143="","Skip",IF(AND(Validator!J637=TRUE,Validator!J137=TRUE,Validator!J387,Validator!J387=TRUE,Validator!J887=TRUE,Validator!J1137=TRUE,Validator!J1387=TRUE),"Valid","Invalid"))</f>
        <v>Skip</v>
      </c>
      <c r="C143" s="69"/>
      <c r="D143" s="407"/>
      <c r="E143" s="408"/>
      <c r="F143" s="519"/>
      <c r="G143" s="205"/>
      <c r="H143" s="519"/>
      <c r="I143" s="194"/>
      <c r="J143" s="414"/>
      <c r="K143" s="395"/>
      <c r="L143" s="412"/>
      <c r="M143" s="310"/>
      <c r="N143" s="413"/>
      <c r="O143" s="398" t="s">
        <v>278</v>
      </c>
      <c r="P143" s="399" t="s">
        <v>77</v>
      </c>
      <c r="Q143" s="348"/>
      <c r="R143" s="308"/>
      <c r="S143" s="349"/>
      <c r="T143" s="349"/>
      <c r="U143" s="90" t="str">
        <f>IF(ISERROR(VLOOKUP($T143, 'Reference data'!$J$2:$K$139, 2, FALSE)),"-",VLOOKUP($T143, 'Reference data'!$J$2:$K$139, 2, FALSE))</f>
        <v>-</v>
      </c>
      <c r="V143" s="308"/>
      <c r="W143" s="308"/>
      <c r="X143" s="312"/>
      <c r="Y143" s="313"/>
      <c r="Z143" s="228"/>
      <c r="AA143" s="352"/>
      <c r="AB143" s="82"/>
      <c r="AC143" s="71"/>
      <c r="AD143" s="70"/>
      <c r="AE143" s="226" t="s">
        <v>278</v>
      </c>
      <c r="AF143" s="230" t="s">
        <v>77</v>
      </c>
    </row>
    <row r="144" spans="2:32" ht="13" x14ac:dyDescent="0.3">
      <c r="B144" s="346" t="str">
        <f>IF(C144="","Skip",IF(AND(Validator!J638=TRUE,Validator!J138=TRUE,Validator!J388,Validator!J388=TRUE,Validator!J888=TRUE,Validator!J1138=TRUE,Validator!J1388=TRUE),"Valid","Invalid"))</f>
        <v>Skip</v>
      </c>
      <c r="C144" s="69"/>
      <c r="D144" s="407"/>
      <c r="E144" s="408"/>
      <c r="F144" s="519"/>
      <c r="G144" s="205"/>
      <c r="H144" s="519"/>
      <c r="I144" s="194"/>
      <c r="J144" s="414"/>
      <c r="K144" s="395"/>
      <c r="L144" s="412"/>
      <c r="M144" s="310"/>
      <c r="N144" s="413"/>
      <c r="O144" s="398" t="s">
        <v>278</v>
      </c>
      <c r="P144" s="399" t="s">
        <v>77</v>
      </c>
      <c r="Q144" s="348"/>
      <c r="R144" s="308"/>
      <c r="S144" s="349"/>
      <c r="T144" s="349"/>
      <c r="U144" s="90" t="str">
        <f>IF(ISERROR(VLOOKUP($T144, 'Reference data'!$J$2:$K$139, 2, FALSE)),"-",VLOOKUP($T144, 'Reference data'!$J$2:$K$139, 2, FALSE))</f>
        <v>-</v>
      </c>
      <c r="V144" s="308"/>
      <c r="W144" s="308"/>
      <c r="X144" s="312"/>
      <c r="Y144" s="313"/>
      <c r="Z144" s="228"/>
      <c r="AA144" s="352"/>
      <c r="AB144" s="82"/>
      <c r="AC144" s="71"/>
      <c r="AD144" s="70"/>
      <c r="AE144" s="226" t="s">
        <v>278</v>
      </c>
      <c r="AF144" s="230" t="s">
        <v>77</v>
      </c>
    </row>
    <row r="145" spans="2:32" ht="13" x14ac:dyDescent="0.3">
      <c r="B145" s="346" t="str">
        <f>IF(C145="","Skip",IF(AND(Validator!J639=TRUE,Validator!J139=TRUE,Validator!J389,Validator!J389=TRUE,Validator!J889=TRUE,Validator!J1139=TRUE,Validator!J1389=TRUE),"Valid","Invalid"))</f>
        <v>Skip</v>
      </c>
      <c r="C145" s="69"/>
      <c r="D145" s="407"/>
      <c r="E145" s="408"/>
      <c r="F145" s="519"/>
      <c r="G145" s="205"/>
      <c r="H145" s="519"/>
      <c r="I145" s="194"/>
      <c r="J145" s="414"/>
      <c r="K145" s="395"/>
      <c r="L145" s="412"/>
      <c r="M145" s="310"/>
      <c r="N145" s="413"/>
      <c r="O145" s="398" t="s">
        <v>278</v>
      </c>
      <c r="P145" s="399" t="s">
        <v>77</v>
      </c>
      <c r="Q145" s="348"/>
      <c r="R145" s="308"/>
      <c r="S145" s="349"/>
      <c r="T145" s="349"/>
      <c r="U145" s="90" t="str">
        <f>IF(ISERROR(VLOOKUP($T145, 'Reference data'!$J$2:$K$139, 2, FALSE)),"-",VLOOKUP($T145, 'Reference data'!$J$2:$K$139, 2, FALSE))</f>
        <v>-</v>
      </c>
      <c r="V145" s="308"/>
      <c r="W145" s="308"/>
      <c r="X145" s="312"/>
      <c r="Y145" s="313"/>
      <c r="Z145" s="228"/>
      <c r="AA145" s="352"/>
      <c r="AB145" s="82"/>
      <c r="AC145" s="71"/>
      <c r="AD145" s="70"/>
      <c r="AE145" s="226" t="s">
        <v>278</v>
      </c>
      <c r="AF145" s="230" t="s">
        <v>77</v>
      </c>
    </row>
    <row r="146" spans="2:32" ht="13" x14ac:dyDescent="0.3">
      <c r="B146" s="346" t="str">
        <f>IF(C146="","Skip",IF(AND(Validator!J640=TRUE,Validator!J140=TRUE,Validator!J390,Validator!J390=TRUE,Validator!J890=TRUE,Validator!J1140=TRUE,Validator!J1390=TRUE),"Valid","Invalid"))</f>
        <v>Skip</v>
      </c>
      <c r="C146" s="69"/>
      <c r="D146" s="407"/>
      <c r="E146" s="408"/>
      <c r="F146" s="519"/>
      <c r="G146" s="205"/>
      <c r="H146" s="519"/>
      <c r="I146" s="194"/>
      <c r="J146" s="414"/>
      <c r="K146" s="395"/>
      <c r="L146" s="412"/>
      <c r="M146" s="310"/>
      <c r="N146" s="413"/>
      <c r="O146" s="398" t="s">
        <v>278</v>
      </c>
      <c r="P146" s="399" t="s">
        <v>77</v>
      </c>
      <c r="Q146" s="348"/>
      <c r="R146" s="308"/>
      <c r="S146" s="349"/>
      <c r="T146" s="349"/>
      <c r="U146" s="90" t="str">
        <f>IF(ISERROR(VLOOKUP($T146, 'Reference data'!$J$2:$K$139, 2, FALSE)),"-",VLOOKUP($T146, 'Reference data'!$J$2:$K$139, 2, FALSE))</f>
        <v>-</v>
      </c>
      <c r="V146" s="308"/>
      <c r="W146" s="308"/>
      <c r="X146" s="312"/>
      <c r="Y146" s="313"/>
      <c r="Z146" s="228"/>
      <c r="AA146" s="352"/>
      <c r="AB146" s="82"/>
      <c r="AC146" s="71"/>
      <c r="AD146" s="70"/>
      <c r="AE146" s="226" t="s">
        <v>278</v>
      </c>
      <c r="AF146" s="230" t="s">
        <v>77</v>
      </c>
    </row>
    <row r="147" spans="2:32" ht="13" x14ac:dyDescent="0.3">
      <c r="B147" s="346" t="str">
        <f>IF(C147="","Skip",IF(AND(Validator!J641=TRUE,Validator!J141=TRUE,Validator!J391,Validator!J391=TRUE,Validator!J891=TRUE,Validator!J1141=TRUE,Validator!J1391=TRUE),"Valid","Invalid"))</f>
        <v>Skip</v>
      </c>
      <c r="C147" s="69"/>
      <c r="D147" s="407"/>
      <c r="E147" s="408"/>
      <c r="F147" s="519"/>
      <c r="G147" s="205"/>
      <c r="H147" s="519"/>
      <c r="I147" s="194"/>
      <c r="J147" s="414"/>
      <c r="K147" s="395"/>
      <c r="L147" s="412"/>
      <c r="M147" s="310"/>
      <c r="N147" s="413"/>
      <c r="O147" s="398" t="s">
        <v>278</v>
      </c>
      <c r="P147" s="399" t="s">
        <v>77</v>
      </c>
      <c r="Q147" s="348"/>
      <c r="R147" s="308"/>
      <c r="S147" s="349"/>
      <c r="T147" s="349"/>
      <c r="U147" s="90" t="str">
        <f>IF(ISERROR(VLOOKUP($T147, 'Reference data'!$J$2:$K$139, 2, FALSE)),"-",VLOOKUP($T147, 'Reference data'!$J$2:$K$139, 2, FALSE))</f>
        <v>-</v>
      </c>
      <c r="V147" s="308"/>
      <c r="W147" s="308"/>
      <c r="X147" s="312"/>
      <c r="Y147" s="313"/>
      <c r="Z147" s="228"/>
      <c r="AA147" s="352"/>
      <c r="AB147" s="82"/>
      <c r="AC147" s="71"/>
      <c r="AD147" s="70"/>
      <c r="AE147" s="226" t="s">
        <v>278</v>
      </c>
      <c r="AF147" s="230" t="s">
        <v>77</v>
      </c>
    </row>
    <row r="148" spans="2:32" ht="13" x14ac:dyDescent="0.3">
      <c r="B148" s="346" t="str">
        <f>IF(C148="","Skip",IF(AND(Validator!J642=TRUE,Validator!J142=TRUE,Validator!J392,Validator!J392=TRUE,Validator!J892=TRUE,Validator!J1142=TRUE,Validator!J1392=TRUE),"Valid","Invalid"))</f>
        <v>Skip</v>
      </c>
      <c r="C148" s="69"/>
      <c r="D148" s="407"/>
      <c r="E148" s="408"/>
      <c r="F148" s="519"/>
      <c r="G148" s="205"/>
      <c r="H148" s="519"/>
      <c r="I148" s="194"/>
      <c r="J148" s="414"/>
      <c r="K148" s="395"/>
      <c r="L148" s="412"/>
      <c r="M148" s="310"/>
      <c r="N148" s="413"/>
      <c r="O148" s="398" t="s">
        <v>278</v>
      </c>
      <c r="P148" s="399" t="s">
        <v>77</v>
      </c>
      <c r="Q148" s="348"/>
      <c r="R148" s="308"/>
      <c r="S148" s="349"/>
      <c r="T148" s="349"/>
      <c r="U148" s="90" t="str">
        <f>IF(ISERROR(VLOOKUP($T148, 'Reference data'!$J$2:$K$139, 2, FALSE)),"-",VLOOKUP($T148, 'Reference data'!$J$2:$K$139, 2, FALSE))</f>
        <v>-</v>
      </c>
      <c r="V148" s="308"/>
      <c r="W148" s="308"/>
      <c r="X148" s="312"/>
      <c r="Y148" s="313"/>
      <c r="Z148" s="228"/>
      <c r="AA148" s="352"/>
      <c r="AB148" s="82"/>
      <c r="AC148" s="71"/>
      <c r="AD148" s="70"/>
      <c r="AE148" s="226" t="s">
        <v>278</v>
      </c>
      <c r="AF148" s="230" t="s">
        <v>77</v>
      </c>
    </row>
    <row r="149" spans="2:32" ht="13" x14ac:dyDescent="0.3">
      <c r="B149" s="346" t="str">
        <f>IF(C149="","Skip",IF(AND(Validator!J643=TRUE,Validator!J143=TRUE,Validator!J393,Validator!J393=TRUE,Validator!J893=TRUE,Validator!J1143=TRUE,Validator!J1393=TRUE),"Valid","Invalid"))</f>
        <v>Skip</v>
      </c>
      <c r="C149" s="69"/>
      <c r="D149" s="407"/>
      <c r="E149" s="408"/>
      <c r="F149" s="519"/>
      <c r="G149" s="205"/>
      <c r="H149" s="519"/>
      <c r="I149" s="194"/>
      <c r="J149" s="414"/>
      <c r="K149" s="395"/>
      <c r="L149" s="412"/>
      <c r="M149" s="310"/>
      <c r="N149" s="413"/>
      <c r="O149" s="398" t="s">
        <v>278</v>
      </c>
      <c r="P149" s="399" t="s">
        <v>77</v>
      </c>
      <c r="Q149" s="348"/>
      <c r="R149" s="308"/>
      <c r="S149" s="349"/>
      <c r="T149" s="349"/>
      <c r="U149" s="90" t="str">
        <f>IF(ISERROR(VLOOKUP($T149, 'Reference data'!$J$2:$K$139, 2, FALSE)),"-",VLOOKUP($T149, 'Reference data'!$J$2:$K$139, 2, FALSE))</f>
        <v>-</v>
      </c>
      <c r="V149" s="308"/>
      <c r="W149" s="308"/>
      <c r="X149" s="312"/>
      <c r="Y149" s="313"/>
      <c r="Z149" s="228"/>
      <c r="AA149" s="352"/>
      <c r="AB149" s="82"/>
      <c r="AC149" s="71"/>
      <c r="AD149" s="70"/>
      <c r="AE149" s="226" t="s">
        <v>278</v>
      </c>
      <c r="AF149" s="230" t="s">
        <v>77</v>
      </c>
    </row>
    <row r="150" spans="2:32" ht="13" x14ac:dyDescent="0.3">
      <c r="B150" s="346" t="str">
        <f>IF(C150="","Skip",IF(AND(Validator!J644=TRUE,Validator!J144=TRUE,Validator!J394,Validator!J394=TRUE,Validator!J894=TRUE,Validator!J1144=TRUE,Validator!J1394=TRUE),"Valid","Invalid"))</f>
        <v>Skip</v>
      </c>
      <c r="C150" s="69"/>
      <c r="D150" s="407"/>
      <c r="E150" s="408"/>
      <c r="F150" s="519"/>
      <c r="G150" s="205"/>
      <c r="H150" s="519"/>
      <c r="I150" s="194"/>
      <c r="J150" s="414"/>
      <c r="K150" s="395"/>
      <c r="L150" s="412"/>
      <c r="M150" s="310"/>
      <c r="N150" s="413"/>
      <c r="O150" s="398" t="s">
        <v>278</v>
      </c>
      <c r="P150" s="399" t="s">
        <v>77</v>
      </c>
      <c r="Q150" s="348"/>
      <c r="R150" s="308"/>
      <c r="S150" s="349"/>
      <c r="T150" s="349"/>
      <c r="U150" s="90" t="str">
        <f>IF(ISERROR(VLOOKUP($T150, 'Reference data'!$J$2:$K$139, 2, FALSE)),"-",VLOOKUP($T150, 'Reference data'!$J$2:$K$139, 2, FALSE))</f>
        <v>-</v>
      </c>
      <c r="V150" s="308"/>
      <c r="W150" s="308"/>
      <c r="X150" s="312"/>
      <c r="Y150" s="313"/>
      <c r="Z150" s="228"/>
      <c r="AA150" s="352"/>
      <c r="AB150" s="82"/>
      <c r="AC150" s="71"/>
      <c r="AD150" s="70"/>
      <c r="AE150" s="226" t="s">
        <v>278</v>
      </c>
      <c r="AF150" s="230" t="s">
        <v>77</v>
      </c>
    </row>
    <row r="151" spans="2:32" ht="13" x14ac:dyDescent="0.3">
      <c r="B151" s="346" t="str">
        <f>IF(C151="","Skip",IF(AND(Validator!J645=TRUE,Validator!J145=TRUE,Validator!J395,Validator!J395=TRUE,Validator!J895=TRUE,Validator!J1145=TRUE,Validator!J1395=TRUE),"Valid","Invalid"))</f>
        <v>Skip</v>
      </c>
      <c r="C151" s="69"/>
      <c r="D151" s="407"/>
      <c r="E151" s="408"/>
      <c r="F151" s="519"/>
      <c r="G151" s="205"/>
      <c r="H151" s="519"/>
      <c r="I151" s="194"/>
      <c r="J151" s="414"/>
      <c r="K151" s="395"/>
      <c r="L151" s="412"/>
      <c r="M151" s="310"/>
      <c r="N151" s="413"/>
      <c r="O151" s="398" t="s">
        <v>278</v>
      </c>
      <c r="P151" s="399" t="s">
        <v>77</v>
      </c>
      <c r="Q151" s="348"/>
      <c r="R151" s="308"/>
      <c r="S151" s="349"/>
      <c r="T151" s="349"/>
      <c r="U151" s="90" t="str">
        <f>IF(ISERROR(VLOOKUP($T151, 'Reference data'!$J$2:$K$139, 2, FALSE)),"-",VLOOKUP($T151, 'Reference data'!$J$2:$K$139, 2, FALSE))</f>
        <v>-</v>
      </c>
      <c r="V151" s="308"/>
      <c r="W151" s="308"/>
      <c r="X151" s="312"/>
      <c r="Y151" s="313"/>
      <c r="Z151" s="228"/>
      <c r="AA151" s="352"/>
      <c r="AB151" s="82"/>
      <c r="AC151" s="71"/>
      <c r="AD151" s="70"/>
      <c r="AE151" s="226" t="s">
        <v>278</v>
      </c>
      <c r="AF151" s="230" t="s">
        <v>77</v>
      </c>
    </row>
    <row r="152" spans="2:32" ht="13" x14ac:dyDescent="0.3">
      <c r="B152" s="346" t="str">
        <f>IF(C152="","Skip",IF(AND(Validator!J646=TRUE,Validator!J146=TRUE,Validator!J396,Validator!J396=TRUE,Validator!J896=TRUE,Validator!J1146=TRUE,Validator!J1396=TRUE),"Valid","Invalid"))</f>
        <v>Skip</v>
      </c>
      <c r="C152" s="69"/>
      <c r="D152" s="407"/>
      <c r="E152" s="408"/>
      <c r="F152" s="519"/>
      <c r="G152" s="205"/>
      <c r="H152" s="519"/>
      <c r="I152" s="194"/>
      <c r="J152" s="414"/>
      <c r="K152" s="395"/>
      <c r="L152" s="412"/>
      <c r="M152" s="310"/>
      <c r="N152" s="413"/>
      <c r="O152" s="398" t="s">
        <v>278</v>
      </c>
      <c r="P152" s="399" t="s">
        <v>77</v>
      </c>
      <c r="Q152" s="348"/>
      <c r="R152" s="308"/>
      <c r="S152" s="349"/>
      <c r="T152" s="349"/>
      <c r="U152" s="90" t="str">
        <f>IF(ISERROR(VLOOKUP($T152, 'Reference data'!$J$2:$K$139, 2, FALSE)),"-",VLOOKUP($T152, 'Reference data'!$J$2:$K$139, 2, FALSE))</f>
        <v>-</v>
      </c>
      <c r="V152" s="308"/>
      <c r="W152" s="308"/>
      <c r="X152" s="312"/>
      <c r="Y152" s="313"/>
      <c r="Z152" s="228"/>
      <c r="AA152" s="352"/>
      <c r="AB152" s="82"/>
      <c r="AC152" s="71"/>
      <c r="AD152" s="70"/>
      <c r="AE152" s="226" t="s">
        <v>278</v>
      </c>
      <c r="AF152" s="230" t="s">
        <v>77</v>
      </c>
    </row>
    <row r="153" spans="2:32" ht="13" x14ac:dyDescent="0.3">
      <c r="B153" s="346" t="str">
        <f>IF(C153="","Skip",IF(AND(Validator!J647=TRUE,Validator!J147=TRUE,Validator!J397,Validator!J397=TRUE,Validator!J897=TRUE,Validator!J1147=TRUE,Validator!J1397=TRUE),"Valid","Invalid"))</f>
        <v>Skip</v>
      </c>
      <c r="C153" s="69"/>
      <c r="D153" s="407"/>
      <c r="E153" s="408"/>
      <c r="F153" s="519"/>
      <c r="G153" s="205"/>
      <c r="H153" s="519"/>
      <c r="I153" s="194"/>
      <c r="J153" s="414"/>
      <c r="K153" s="395"/>
      <c r="L153" s="412"/>
      <c r="M153" s="310"/>
      <c r="N153" s="413"/>
      <c r="O153" s="398" t="s">
        <v>278</v>
      </c>
      <c r="P153" s="399" t="s">
        <v>77</v>
      </c>
      <c r="Q153" s="348"/>
      <c r="R153" s="308"/>
      <c r="S153" s="349"/>
      <c r="T153" s="349"/>
      <c r="U153" s="90" t="str">
        <f>IF(ISERROR(VLOOKUP($T153, 'Reference data'!$J$2:$K$139, 2, FALSE)),"-",VLOOKUP($T153, 'Reference data'!$J$2:$K$139, 2, FALSE))</f>
        <v>-</v>
      </c>
      <c r="V153" s="308"/>
      <c r="W153" s="308"/>
      <c r="X153" s="312"/>
      <c r="Y153" s="313"/>
      <c r="Z153" s="228"/>
      <c r="AA153" s="352"/>
      <c r="AB153" s="82"/>
      <c r="AC153" s="71"/>
      <c r="AD153" s="70"/>
      <c r="AE153" s="226" t="s">
        <v>278</v>
      </c>
      <c r="AF153" s="230" t="s">
        <v>77</v>
      </c>
    </row>
    <row r="154" spans="2:32" ht="13" x14ac:dyDescent="0.3">
      <c r="B154" s="346" t="str">
        <f>IF(C154="","Skip",IF(AND(Validator!J648=TRUE,Validator!J148=TRUE,Validator!J398,Validator!J398=TRUE,Validator!J898=TRUE,Validator!J1148=TRUE,Validator!J1398=TRUE),"Valid","Invalid"))</f>
        <v>Skip</v>
      </c>
      <c r="C154" s="69"/>
      <c r="D154" s="407"/>
      <c r="E154" s="408"/>
      <c r="F154" s="519"/>
      <c r="G154" s="205"/>
      <c r="H154" s="519"/>
      <c r="I154" s="194"/>
      <c r="J154" s="414"/>
      <c r="K154" s="395"/>
      <c r="L154" s="412"/>
      <c r="M154" s="310"/>
      <c r="N154" s="413"/>
      <c r="O154" s="398" t="s">
        <v>278</v>
      </c>
      <c r="P154" s="399" t="s">
        <v>77</v>
      </c>
      <c r="Q154" s="348"/>
      <c r="R154" s="308"/>
      <c r="S154" s="349"/>
      <c r="T154" s="349"/>
      <c r="U154" s="90" t="str">
        <f>IF(ISERROR(VLOOKUP($T154, 'Reference data'!$J$2:$K$139, 2, FALSE)),"-",VLOOKUP($T154, 'Reference data'!$J$2:$K$139, 2, FALSE))</f>
        <v>-</v>
      </c>
      <c r="V154" s="308"/>
      <c r="W154" s="308"/>
      <c r="X154" s="312"/>
      <c r="Y154" s="313"/>
      <c r="Z154" s="228"/>
      <c r="AA154" s="352"/>
      <c r="AB154" s="82"/>
      <c r="AC154" s="71"/>
      <c r="AD154" s="70"/>
      <c r="AE154" s="226" t="s">
        <v>278</v>
      </c>
      <c r="AF154" s="230" t="s">
        <v>77</v>
      </c>
    </row>
    <row r="155" spans="2:32" ht="13" x14ac:dyDescent="0.3">
      <c r="B155" s="346" t="str">
        <f>IF(C155="","Skip",IF(AND(Validator!J649=TRUE,Validator!J149=TRUE,Validator!J399,Validator!J399=TRUE,Validator!J899=TRUE,Validator!J1149=TRUE,Validator!J1399=TRUE),"Valid","Invalid"))</f>
        <v>Skip</v>
      </c>
      <c r="C155" s="69"/>
      <c r="D155" s="407"/>
      <c r="E155" s="408"/>
      <c r="F155" s="519"/>
      <c r="G155" s="205"/>
      <c r="H155" s="519"/>
      <c r="I155" s="194"/>
      <c r="J155" s="414"/>
      <c r="K155" s="395"/>
      <c r="L155" s="412"/>
      <c r="M155" s="310"/>
      <c r="N155" s="413"/>
      <c r="O155" s="398" t="s">
        <v>278</v>
      </c>
      <c r="P155" s="399" t="s">
        <v>77</v>
      </c>
      <c r="Q155" s="348"/>
      <c r="R155" s="308"/>
      <c r="S155" s="349"/>
      <c r="T155" s="349"/>
      <c r="U155" s="90" t="str">
        <f>IF(ISERROR(VLOOKUP($T155, 'Reference data'!$J$2:$K$139, 2, FALSE)),"-",VLOOKUP($T155, 'Reference data'!$J$2:$K$139, 2, FALSE))</f>
        <v>-</v>
      </c>
      <c r="V155" s="308"/>
      <c r="W155" s="308"/>
      <c r="X155" s="312"/>
      <c r="Y155" s="313"/>
      <c r="Z155" s="228"/>
      <c r="AA155" s="352"/>
      <c r="AB155" s="82"/>
      <c r="AC155" s="71"/>
      <c r="AD155" s="70"/>
      <c r="AE155" s="226" t="s">
        <v>278</v>
      </c>
      <c r="AF155" s="230" t="s">
        <v>77</v>
      </c>
    </row>
    <row r="156" spans="2:32" ht="13" x14ac:dyDescent="0.3">
      <c r="B156" s="346" t="str">
        <f>IF(C156="","Skip",IF(AND(Validator!J650=TRUE,Validator!J150=TRUE,Validator!J400,Validator!J400=TRUE,Validator!J900=TRUE,Validator!J1150=TRUE,Validator!J1400=TRUE),"Valid","Invalid"))</f>
        <v>Skip</v>
      </c>
      <c r="C156" s="69"/>
      <c r="D156" s="407"/>
      <c r="E156" s="408"/>
      <c r="F156" s="519"/>
      <c r="G156" s="205"/>
      <c r="H156" s="519"/>
      <c r="I156" s="194"/>
      <c r="J156" s="414"/>
      <c r="K156" s="395"/>
      <c r="L156" s="412"/>
      <c r="M156" s="310"/>
      <c r="N156" s="413"/>
      <c r="O156" s="398" t="s">
        <v>278</v>
      </c>
      <c r="P156" s="399" t="s">
        <v>77</v>
      </c>
      <c r="Q156" s="348"/>
      <c r="R156" s="308"/>
      <c r="S156" s="349"/>
      <c r="T156" s="349"/>
      <c r="U156" s="90" t="str">
        <f>IF(ISERROR(VLOOKUP($T156, 'Reference data'!$J$2:$K$139, 2, FALSE)),"-",VLOOKUP($T156, 'Reference data'!$J$2:$K$139, 2, FALSE))</f>
        <v>-</v>
      </c>
      <c r="V156" s="308"/>
      <c r="W156" s="308"/>
      <c r="X156" s="312"/>
      <c r="Y156" s="313"/>
      <c r="Z156" s="228"/>
      <c r="AA156" s="352"/>
      <c r="AB156" s="82"/>
      <c r="AC156" s="71"/>
      <c r="AD156" s="70"/>
      <c r="AE156" s="226" t="s">
        <v>278</v>
      </c>
      <c r="AF156" s="230" t="s">
        <v>77</v>
      </c>
    </row>
    <row r="157" spans="2:32" ht="13" x14ac:dyDescent="0.3">
      <c r="B157" s="346" t="str">
        <f>IF(C157="","Skip",IF(AND(Validator!J651=TRUE,Validator!J151=TRUE,Validator!J401,Validator!J401=TRUE,Validator!J901=TRUE,Validator!J1151=TRUE,Validator!J1401=TRUE),"Valid","Invalid"))</f>
        <v>Skip</v>
      </c>
      <c r="C157" s="69"/>
      <c r="D157" s="407"/>
      <c r="E157" s="408"/>
      <c r="F157" s="519"/>
      <c r="G157" s="205"/>
      <c r="H157" s="519"/>
      <c r="I157" s="194"/>
      <c r="J157" s="414"/>
      <c r="K157" s="395"/>
      <c r="L157" s="412"/>
      <c r="M157" s="310"/>
      <c r="N157" s="413"/>
      <c r="O157" s="398" t="s">
        <v>278</v>
      </c>
      <c r="P157" s="399" t="s">
        <v>77</v>
      </c>
      <c r="Q157" s="348"/>
      <c r="R157" s="308"/>
      <c r="S157" s="349"/>
      <c r="T157" s="349"/>
      <c r="U157" s="90" t="str">
        <f>IF(ISERROR(VLOOKUP($T157, 'Reference data'!$J$2:$K$139, 2, FALSE)),"-",VLOOKUP($T157, 'Reference data'!$J$2:$K$139, 2, FALSE))</f>
        <v>-</v>
      </c>
      <c r="V157" s="308"/>
      <c r="W157" s="308"/>
      <c r="X157" s="312"/>
      <c r="Y157" s="313"/>
      <c r="Z157" s="228"/>
      <c r="AA157" s="352"/>
      <c r="AB157" s="82"/>
      <c r="AC157" s="71"/>
      <c r="AD157" s="70"/>
      <c r="AE157" s="226" t="s">
        <v>278</v>
      </c>
      <c r="AF157" s="230" t="s">
        <v>77</v>
      </c>
    </row>
    <row r="158" spans="2:32" ht="13" x14ac:dyDescent="0.3">
      <c r="B158" s="346" t="str">
        <f>IF(C158="","Skip",IF(AND(Validator!J652=TRUE,Validator!J152=TRUE,Validator!J402,Validator!J402=TRUE,Validator!J902=TRUE,Validator!J1152=TRUE,Validator!J1402=TRUE),"Valid","Invalid"))</f>
        <v>Skip</v>
      </c>
      <c r="C158" s="69"/>
      <c r="D158" s="407"/>
      <c r="E158" s="408"/>
      <c r="F158" s="519"/>
      <c r="G158" s="205"/>
      <c r="H158" s="519"/>
      <c r="I158" s="194"/>
      <c r="J158" s="414"/>
      <c r="K158" s="395"/>
      <c r="L158" s="412"/>
      <c r="M158" s="310"/>
      <c r="N158" s="413"/>
      <c r="O158" s="398" t="s">
        <v>278</v>
      </c>
      <c r="P158" s="399" t="s">
        <v>77</v>
      </c>
      <c r="Q158" s="348"/>
      <c r="R158" s="308"/>
      <c r="S158" s="349"/>
      <c r="T158" s="349"/>
      <c r="U158" s="90" t="str">
        <f>IF(ISERROR(VLOOKUP($T158, 'Reference data'!$J$2:$K$139, 2, FALSE)),"-",VLOOKUP($T158, 'Reference data'!$J$2:$K$139, 2, FALSE))</f>
        <v>-</v>
      </c>
      <c r="V158" s="308"/>
      <c r="W158" s="308"/>
      <c r="X158" s="312"/>
      <c r="Y158" s="313"/>
      <c r="Z158" s="228"/>
      <c r="AA158" s="352"/>
      <c r="AB158" s="82"/>
      <c r="AC158" s="71"/>
      <c r="AD158" s="70"/>
      <c r="AE158" s="226" t="s">
        <v>278</v>
      </c>
      <c r="AF158" s="230" t="s">
        <v>77</v>
      </c>
    </row>
    <row r="159" spans="2:32" ht="13" x14ac:dyDescent="0.3">
      <c r="B159" s="346" t="str">
        <f>IF(C159="","Skip",IF(AND(Validator!J653=TRUE,Validator!J153=TRUE,Validator!J403,Validator!J403=TRUE,Validator!J903=TRUE,Validator!J1153=TRUE,Validator!J1403=TRUE),"Valid","Invalid"))</f>
        <v>Skip</v>
      </c>
      <c r="C159" s="69"/>
      <c r="D159" s="407"/>
      <c r="E159" s="408"/>
      <c r="F159" s="519"/>
      <c r="G159" s="205"/>
      <c r="H159" s="519"/>
      <c r="I159" s="194"/>
      <c r="J159" s="414"/>
      <c r="K159" s="395"/>
      <c r="L159" s="412"/>
      <c r="M159" s="310"/>
      <c r="N159" s="413"/>
      <c r="O159" s="398" t="s">
        <v>278</v>
      </c>
      <c r="P159" s="399" t="s">
        <v>77</v>
      </c>
      <c r="Q159" s="348"/>
      <c r="R159" s="308"/>
      <c r="S159" s="349"/>
      <c r="T159" s="349"/>
      <c r="U159" s="90" t="str">
        <f>IF(ISERROR(VLOOKUP($T159, 'Reference data'!$J$2:$K$139, 2, FALSE)),"-",VLOOKUP($T159, 'Reference data'!$J$2:$K$139, 2, FALSE))</f>
        <v>-</v>
      </c>
      <c r="V159" s="308"/>
      <c r="W159" s="308"/>
      <c r="X159" s="312"/>
      <c r="Y159" s="313"/>
      <c r="Z159" s="228"/>
      <c r="AA159" s="352"/>
      <c r="AB159" s="82"/>
      <c r="AC159" s="71"/>
      <c r="AD159" s="70"/>
      <c r="AE159" s="226" t="s">
        <v>278</v>
      </c>
      <c r="AF159" s="230" t="s">
        <v>77</v>
      </c>
    </row>
    <row r="160" spans="2:32" ht="13" x14ac:dyDescent="0.3">
      <c r="B160" s="346" t="str">
        <f>IF(C160="","Skip",IF(AND(Validator!J654=TRUE,Validator!J154=TRUE,Validator!J404,Validator!J404=TRUE,Validator!J904=TRUE,Validator!J1154=TRUE,Validator!J1404=TRUE),"Valid","Invalid"))</f>
        <v>Skip</v>
      </c>
      <c r="C160" s="69"/>
      <c r="D160" s="407"/>
      <c r="E160" s="408"/>
      <c r="F160" s="519"/>
      <c r="G160" s="205"/>
      <c r="H160" s="519"/>
      <c r="I160" s="194"/>
      <c r="J160" s="414"/>
      <c r="K160" s="395"/>
      <c r="L160" s="412"/>
      <c r="M160" s="310"/>
      <c r="N160" s="413"/>
      <c r="O160" s="398" t="s">
        <v>278</v>
      </c>
      <c r="P160" s="399" t="s">
        <v>77</v>
      </c>
      <c r="Q160" s="348"/>
      <c r="R160" s="308"/>
      <c r="S160" s="349"/>
      <c r="T160" s="349"/>
      <c r="U160" s="90" t="str">
        <f>IF(ISERROR(VLOOKUP($T160, 'Reference data'!$J$2:$K$139, 2, FALSE)),"-",VLOOKUP($T160, 'Reference data'!$J$2:$K$139, 2, FALSE))</f>
        <v>-</v>
      </c>
      <c r="V160" s="308"/>
      <c r="W160" s="308"/>
      <c r="X160" s="312"/>
      <c r="Y160" s="313"/>
      <c r="Z160" s="228"/>
      <c r="AA160" s="352"/>
      <c r="AB160" s="82"/>
      <c r="AC160" s="71"/>
      <c r="AD160" s="70"/>
      <c r="AE160" s="226" t="s">
        <v>278</v>
      </c>
      <c r="AF160" s="230" t="s">
        <v>77</v>
      </c>
    </row>
    <row r="161" spans="2:32" ht="13" x14ac:dyDescent="0.3">
      <c r="B161" s="346" t="str">
        <f>IF(C161="","Skip",IF(AND(Validator!J655=TRUE,Validator!J155=TRUE,Validator!J405,Validator!J405=TRUE,Validator!J905=TRUE,Validator!J1155=TRUE,Validator!J1405=TRUE),"Valid","Invalid"))</f>
        <v>Skip</v>
      </c>
      <c r="C161" s="69"/>
      <c r="D161" s="407"/>
      <c r="E161" s="408"/>
      <c r="F161" s="519"/>
      <c r="G161" s="205"/>
      <c r="H161" s="519"/>
      <c r="I161" s="194"/>
      <c r="J161" s="414"/>
      <c r="K161" s="395"/>
      <c r="L161" s="412"/>
      <c r="M161" s="310"/>
      <c r="N161" s="413"/>
      <c r="O161" s="398" t="s">
        <v>278</v>
      </c>
      <c r="P161" s="399" t="s">
        <v>77</v>
      </c>
      <c r="Q161" s="348"/>
      <c r="R161" s="308"/>
      <c r="S161" s="349"/>
      <c r="T161" s="349"/>
      <c r="U161" s="90" t="str">
        <f>IF(ISERROR(VLOOKUP($T161, 'Reference data'!$J$2:$K$139, 2, FALSE)),"-",VLOOKUP($T161, 'Reference data'!$J$2:$K$139, 2, FALSE))</f>
        <v>-</v>
      </c>
      <c r="V161" s="308"/>
      <c r="W161" s="308"/>
      <c r="X161" s="312"/>
      <c r="Y161" s="313"/>
      <c r="Z161" s="228"/>
      <c r="AA161" s="352"/>
      <c r="AB161" s="82"/>
      <c r="AC161" s="71"/>
      <c r="AD161" s="70"/>
      <c r="AE161" s="226" t="s">
        <v>278</v>
      </c>
      <c r="AF161" s="230" t="s">
        <v>77</v>
      </c>
    </row>
    <row r="162" spans="2:32" ht="13" x14ac:dyDescent="0.3">
      <c r="B162" s="346" t="str">
        <f>IF(C162="","Skip",IF(AND(Validator!J656=TRUE,Validator!J156=TRUE,Validator!J406,Validator!J406=TRUE,Validator!J906=TRUE,Validator!J1156=TRUE,Validator!J1406=TRUE),"Valid","Invalid"))</f>
        <v>Skip</v>
      </c>
      <c r="C162" s="69"/>
      <c r="D162" s="407"/>
      <c r="E162" s="408"/>
      <c r="F162" s="519"/>
      <c r="G162" s="205"/>
      <c r="H162" s="519"/>
      <c r="I162" s="194"/>
      <c r="J162" s="414"/>
      <c r="K162" s="395"/>
      <c r="L162" s="412"/>
      <c r="M162" s="310"/>
      <c r="N162" s="413"/>
      <c r="O162" s="398" t="s">
        <v>278</v>
      </c>
      <c r="P162" s="399" t="s">
        <v>77</v>
      </c>
      <c r="Q162" s="348"/>
      <c r="R162" s="308"/>
      <c r="S162" s="349"/>
      <c r="T162" s="349"/>
      <c r="U162" s="90" t="str">
        <f>IF(ISERROR(VLOOKUP($T162, 'Reference data'!$J$2:$K$139, 2, FALSE)),"-",VLOOKUP($T162, 'Reference data'!$J$2:$K$139, 2, FALSE))</f>
        <v>-</v>
      </c>
      <c r="V162" s="308"/>
      <c r="W162" s="308"/>
      <c r="X162" s="312"/>
      <c r="Y162" s="313"/>
      <c r="Z162" s="228"/>
      <c r="AA162" s="352"/>
      <c r="AB162" s="82"/>
      <c r="AC162" s="71"/>
      <c r="AD162" s="70"/>
      <c r="AE162" s="226" t="s">
        <v>278</v>
      </c>
      <c r="AF162" s="230" t="s">
        <v>77</v>
      </c>
    </row>
    <row r="163" spans="2:32" ht="13" x14ac:dyDescent="0.3">
      <c r="B163" s="346" t="str">
        <f>IF(C163="","Skip",IF(AND(Validator!J657=TRUE,Validator!J157=TRUE,Validator!J407,Validator!J407=TRUE,Validator!J907=TRUE,Validator!J1157=TRUE,Validator!J1407=TRUE),"Valid","Invalid"))</f>
        <v>Skip</v>
      </c>
      <c r="C163" s="69"/>
      <c r="D163" s="407"/>
      <c r="E163" s="408"/>
      <c r="F163" s="519"/>
      <c r="G163" s="205"/>
      <c r="H163" s="519"/>
      <c r="I163" s="194"/>
      <c r="J163" s="414"/>
      <c r="K163" s="395"/>
      <c r="L163" s="412"/>
      <c r="M163" s="310"/>
      <c r="N163" s="413"/>
      <c r="O163" s="398" t="s">
        <v>278</v>
      </c>
      <c r="P163" s="399" t="s">
        <v>77</v>
      </c>
      <c r="Q163" s="348"/>
      <c r="R163" s="308"/>
      <c r="S163" s="349"/>
      <c r="T163" s="349"/>
      <c r="U163" s="90" t="str">
        <f>IF(ISERROR(VLOOKUP($T163, 'Reference data'!$J$2:$K$139, 2, FALSE)),"-",VLOOKUP($T163, 'Reference data'!$J$2:$K$139, 2, FALSE))</f>
        <v>-</v>
      </c>
      <c r="V163" s="308"/>
      <c r="W163" s="308"/>
      <c r="X163" s="312"/>
      <c r="Y163" s="313"/>
      <c r="Z163" s="228"/>
      <c r="AA163" s="352"/>
      <c r="AB163" s="82"/>
      <c r="AC163" s="71"/>
      <c r="AD163" s="70"/>
      <c r="AE163" s="226" t="s">
        <v>278</v>
      </c>
      <c r="AF163" s="230" t="s">
        <v>77</v>
      </c>
    </row>
    <row r="164" spans="2:32" ht="13" x14ac:dyDescent="0.3">
      <c r="B164" s="346" t="str">
        <f>IF(C164="","Skip",IF(AND(Validator!J658=TRUE,Validator!J158=TRUE,Validator!J408,Validator!J408=TRUE,Validator!J908=TRUE,Validator!J1158=TRUE,Validator!J1408=TRUE),"Valid","Invalid"))</f>
        <v>Skip</v>
      </c>
      <c r="C164" s="69"/>
      <c r="D164" s="407"/>
      <c r="E164" s="408"/>
      <c r="F164" s="519"/>
      <c r="G164" s="205"/>
      <c r="H164" s="519"/>
      <c r="I164" s="194"/>
      <c r="J164" s="414"/>
      <c r="K164" s="395"/>
      <c r="L164" s="412"/>
      <c r="M164" s="310"/>
      <c r="N164" s="413"/>
      <c r="O164" s="398" t="s">
        <v>278</v>
      </c>
      <c r="P164" s="399" t="s">
        <v>77</v>
      </c>
      <c r="Q164" s="348"/>
      <c r="R164" s="308"/>
      <c r="S164" s="349"/>
      <c r="T164" s="349"/>
      <c r="U164" s="90" t="str">
        <f>IF(ISERROR(VLOOKUP($T164, 'Reference data'!$J$2:$K$139, 2, FALSE)),"-",VLOOKUP($T164, 'Reference data'!$J$2:$K$139, 2, FALSE))</f>
        <v>-</v>
      </c>
      <c r="V164" s="308"/>
      <c r="W164" s="308"/>
      <c r="X164" s="312"/>
      <c r="Y164" s="313"/>
      <c r="Z164" s="228"/>
      <c r="AA164" s="352"/>
      <c r="AB164" s="82"/>
      <c r="AC164" s="71"/>
      <c r="AD164" s="70"/>
      <c r="AE164" s="226" t="s">
        <v>278</v>
      </c>
      <c r="AF164" s="230" t="s">
        <v>77</v>
      </c>
    </row>
    <row r="165" spans="2:32" ht="13" x14ac:dyDescent="0.3">
      <c r="B165" s="346" t="str">
        <f>IF(C165="","Skip",IF(AND(Validator!J659=TRUE,Validator!J159=TRUE,Validator!J409,Validator!J409=TRUE,Validator!J909=TRUE,Validator!J1159=TRUE,Validator!J1409=TRUE),"Valid","Invalid"))</f>
        <v>Skip</v>
      </c>
      <c r="C165" s="69"/>
      <c r="D165" s="407"/>
      <c r="E165" s="408"/>
      <c r="F165" s="519"/>
      <c r="G165" s="205"/>
      <c r="H165" s="519"/>
      <c r="I165" s="194"/>
      <c r="J165" s="414"/>
      <c r="K165" s="395"/>
      <c r="L165" s="412"/>
      <c r="M165" s="310"/>
      <c r="N165" s="413"/>
      <c r="O165" s="398" t="s">
        <v>278</v>
      </c>
      <c r="P165" s="399" t="s">
        <v>77</v>
      </c>
      <c r="Q165" s="348"/>
      <c r="R165" s="308"/>
      <c r="S165" s="349"/>
      <c r="T165" s="349"/>
      <c r="U165" s="90" t="str">
        <f>IF(ISERROR(VLOOKUP($T165, 'Reference data'!$J$2:$K$139, 2, FALSE)),"-",VLOOKUP($T165, 'Reference data'!$J$2:$K$139, 2, FALSE))</f>
        <v>-</v>
      </c>
      <c r="V165" s="308"/>
      <c r="W165" s="308"/>
      <c r="X165" s="312"/>
      <c r="Y165" s="313"/>
      <c r="Z165" s="228"/>
      <c r="AA165" s="352"/>
      <c r="AB165" s="82"/>
      <c r="AC165" s="71"/>
      <c r="AD165" s="70"/>
      <c r="AE165" s="226" t="s">
        <v>278</v>
      </c>
      <c r="AF165" s="230" t="s">
        <v>77</v>
      </c>
    </row>
    <row r="166" spans="2:32" ht="13" x14ac:dyDescent="0.3">
      <c r="B166" s="346" t="str">
        <f>IF(C166="","Skip",IF(AND(Validator!J660=TRUE,Validator!J160=TRUE,Validator!J410,Validator!J410=TRUE,Validator!J910=TRUE,Validator!J1160=TRUE,Validator!J1410=TRUE),"Valid","Invalid"))</f>
        <v>Skip</v>
      </c>
      <c r="C166" s="69"/>
      <c r="D166" s="407"/>
      <c r="E166" s="408"/>
      <c r="F166" s="519"/>
      <c r="G166" s="205"/>
      <c r="H166" s="519"/>
      <c r="I166" s="194"/>
      <c r="J166" s="414"/>
      <c r="K166" s="395"/>
      <c r="L166" s="412"/>
      <c r="M166" s="310"/>
      <c r="N166" s="413"/>
      <c r="O166" s="398" t="s">
        <v>278</v>
      </c>
      <c r="P166" s="399" t="s">
        <v>77</v>
      </c>
      <c r="Q166" s="348"/>
      <c r="R166" s="308"/>
      <c r="S166" s="349"/>
      <c r="T166" s="349"/>
      <c r="U166" s="90" t="str">
        <f>IF(ISERROR(VLOOKUP($T166, 'Reference data'!$J$2:$K$139, 2, FALSE)),"-",VLOOKUP($T166, 'Reference data'!$J$2:$K$139, 2, FALSE))</f>
        <v>-</v>
      </c>
      <c r="V166" s="308"/>
      <c r="W166" s="308"/>
      <c r="X166" s="312"/>
      <c r="Y166" s="313"/>
      <c r="Z166" s="228"/>
      <c r="AA166" s="352"/>
      <c r="AB166" s="82"/>
      <c r="AC166" s="71"/>
      <c r="AD166" s="70"/>
      <c r="AE166" s="226" t="s">
        <v>278</v>
      </c>
      <c r="AF166" s="230" t="s">
        <v>77</v>
      </c>
    </row>
    <row r="167" spans="2:32" ht="13" x14ac:dyDescent="0.3">
      <c r="B167" s="346" t="str">
        <f>IF(C167="","Skip",IF(AND(Validator!J661=TRUE,Validator!J161=TRUE,Validator!J411,Validator!J411=TRUE,Validator!J911=TRUE,Validator!J1161=TRUE,Validator!J1411=TRUE),"Valid","Invalid"))</f>
        <v>Skip</v>
      </c>
      <c r="C167" s="69"/>
      <c r="D167" s="407"/>
      <c r="E167" s="408"/>
      <c r="F167" s="519"/>
      <c r="G167" s="205"/>
      <c r="H167" s="519"/>
      <c r="I167" s="194"/>
      <c r="J167" s="414"/>
      <c r="K167" s="395"/>
      <c r="L167" s="412"/>
      <c r="M167" s="310"/>
      <c r="N167" s="413"/>
      <c r="O167" s="398" t="s">
        <v>278</v>
      </c>
      <c r="P167" s="399" t="s">
        <v>77</v>
      </c>
      <c r="Q167" s="348"/>
      <c r="R167" s="308"/>
      <c r="S167" s="349"/>
      <c r="T167" s="349"/>
      <c r="U167" s="90" t="str">
        <f>IF(ISERROR(VLOOKUP($T167, 'Reference data'!$J$2:$K$139, 2, FALSE)),"-",VLOOKUP($T167, 'Reference data'!$J$2:$K$139, 2, FALSE))</f>
        <v>-</v>
      </c>
      <c r="V167" s="308"/>
      <c r="W167" s="308"/>
      <c r="X167" s="312"/>
      <c r="Y167" s="313"/>
      <c r="Z167" s="228"/>
      <c r="AA167" s="352"/>
      <c r="AB167" s="82"/>
      <c r="AC167" s="71"/>
      <c r="AD167" s="70"/>
      <c r="AE167" s="226" t="s">
        <v>278</v>
      </c>
      <c r="AF167" s="230" t="s">
        <v>77</v>
      </c>
    </row>
    <row r="168" spans="2:32" ht="13" x14ac:dyDescent="0.3">
      <c r="B168" s="346" t="str">
        <f>IF(C168="","Skip",IF(AND(Validator!J662=TRUE,Validator!J162=TRUE,Validator!J412,Validator!J412=TRUE,Validator!J912=TRUE,Validator!J1162=TRUE,Validator!J1412=TRUE),"Valid","Invalid"))</f>
        <v>Skip</v>
      </c>
      <c r="C168" s="69"/>
      <c r="D168" s="407"/>
      <c r="E168" s="408"/>
      <c r="F168" s="519"/>
      <c r="G168" s="205"/>
      <c r="H168" s="519"/>
      <c r="I168" s="194"/>
      <c r="J168" s="414"/>
      <c r="K168" s="395"/>
      <c r="L168" s="412"/>
      <c r="M168" s="310"/>
      <c r="N168" s="413"/>
      <c r="O168" s="398" t="s">
        <v>278</v>
      </c>
      <c r="P168" s="399" t="s">
        <v>77</v>
      </c>
      <c r="Q168" s="348"/>
      <c r="R168" s="308"/>
      <c r="S168" s="349"/>
      <c r="T168" s="349"/>
      <c r="U168" s="90" t="str">
        <f>IF(ISERROR(VLOOKUP($T168, 'Reference data'!$J$2:$K$139, 2, FALSE)),"-",VLOOKUP($T168, 'Reference data'!$J$2:$K$139, 2, FALSE))</f>
        <v>-</v>
      </c>
      <c r="V168" s="308"/>
      <c r="W168" s="308"/>
      <c r="X168" s="312"/>
      <c r="Y168" s="313"/>
      <c r="Z168" s="228"/>
      <c r="AA168" s="352"/>
      <c r="AB168" s="82"/>
      <c r="AC168" s="71"/>
      <c r="AD168" s="70"/>
      <c r="AE168" s="226" t="s">
        <v>278</v>
      </c>
      <c r="AF168" s="230" t="s">
        <v>77</v>
      </c>
    </row>
    <row r="169" spans="2:32" ht="13" x14ac:dyDescent="0.3">
      <c r="B169" s="346" t="str">
        <f>IF(C169="","Skip",IF(AND(Validator!J663=TRUE,Validator!J163=TRUE,Validator!J413,Validator!J413=TRUE,Validator!J913=TRUE,Validator!J1163=TRUE,Validator!J1413=TRUE),"Valid","Invalid"))</f>
        <v>Skip</v>
      </c>
      <c r="C169" s="69"/>
      <c r="D169" s="407"/>
      <c r="E169" s="408"/>
      <c r="F169" s="519"/>
      <c r="G169" s="205"/>
      <c r="H169" s="519"/>
      <c r="I169" s="194"/>
      <c r="J169" s="414"/>
      <c r="K169" s="395"/>
      <c r="L169" s="412"/>
      <c r="M169" s="310"/>
      <c r="N169" s="413"/>
      <c r="O169" s="398" t="s">
        <v>278</v>
      </c>
      <c r="P169" s="399" t="s">
        <v>77</v>
      </c>
      <c r="Q169" s="348"/>
      <c r="R169" s="308"/>
      <c r="S169" s="349"/>
      <c r="T169" s="349"/>
      <c r="U169" s="90" t="str">
        <f>IF(ISERROR(VLOOKUP($T169, 'Reference data'!$J$2:$K$139, 2, FALSE)),"-",VLOOKUP($T169, 'Reference data'!$J$2:$K$139, 2, FALSE))</f>
        <v>-</v>
      </c>
      <c r="V169" s="308"/>
      <c r="W169" s="308"/>
      <c r="X169" s="312"/>
      <c r="Y169" s="313"/>
      <c r="Z169" s="228"/>
      <c r="AA169" s="352"/>
      <c r="AB169" s="82"/>
      <c r="AC169" s="71"/>
      <c r="AD169" s="70"/>
      <c r="AE169" s="226" t="s">
        <v>278</v>
      </c>
      <c r="AF169" s="230" t="s">
        <v>77</v>
      </c>
    </row>
    <row r="170" spans="2:32" ht="13" x14ac:dyDescent="0.3">
      <c r="B170" s="346" t="str">
        <f>IF(C170="","Skip",IF(AND(Validator!J664=TRUE,Validator!J164=TRUE,Validator!J414,Validator!J414=TRUE,Validator!J914=TRUE,Validator!J1164=TRUE,Validator!J1414=TRUE),"Valid","Invalid"))</f>
        <v>Skip</v>
      </c>
      <c r="C170" s="69"/>
      <c r="D170" s="407"/>
      <c r="E170" s="408"/>
      <c r="F170" s="519"/>
      <c r="G170" s="205"/>
      <c r="H170" s="519"/>
      <c r="I170" s="194"/>
      <c r="J170" s="414"/>
      <c r="K170" s="395"/>
      <c r="L170" s="412"/>
      <c r="M170" s="310"/>
      <c r="N170" s="413"/>
      <c r="O170" s="398" t="s">
        <v>278</v>
      </c>
      <c r="P170" s="399" t="s">
        <v>77</v>
      </c>
      <c r="Q170" s="348"/>
      <c r="R170" s="308"/>
      <c r="S170" s="349"/>
      <c r="T170" s="349"/>
      <c r="U170" s="90" t="str">
        <f>IF(ISERROR(VLOOKUP($T170, 'Reference data'!$J$2:$K$139, 2, FALSE)),"-",VLOOKUP($T170, 'Reference data'!$J$2:$K$139, 2, FALSE))</f>
        <v>-</v>
      </c>
      <c r="V170" s="308"/>
      <c r="W170" s="308"/>
      <c r="X170" s="312"/>
      <c r="Y170" s="313"/>
      <c r="Z170" s="228"/>
      <c r="AA170" s="352"/>
      <c r="AB170" s="82"/>
      <c r="AC170" s="71"/>
      <c r="AD170" s="70"/>
      <c r="AE170" s="226" t="s">
        <v>278</v>
      </c>
      <c r="AF170" s="230" t="s">
        <v>77</v>
      </c>
    </row>
    <row r="171" spans="2:32" ht="13" x14ac:dyDescent="0.3">
      <c r="B171" s="346" t="str">
        <f>IF(C171="","Skip",IF(AND(Validator!J665=TRUE,Validator!J165=TRUE,Validator!J415,Validator!J415=TRUE,Validator!J915=TRUE,Validator!J1165=TRUE,Validator!J1415=TRUE),"Valid","Invalid"))</f>
        <v>Skip</v>
      </c>
      <c r="C171" s="69"/>
      <c r="D171" s="407"/>
      <c r="E171" s="408"/>
      <c r="F171" s="519"/>
      <c r="G171" s="205"/>
      <c r="H171" s="519"/>
      <c r="I171" s="194"/>
      <c r="J171" s="414"/>
      <c r="K171" s="395"/>
      <c r="L171" s="412"/>
      <c r="M171" s="310"/>
      <c r="N171" s="413"/>
      <c r="O171" s="398" t="s">
        <v>278</v>
      </c>
      <c r="P171" s="399" t="s">
        <v>77</v>
      </c>
      <c r="Q171" s="348"/>
      <c r="R171" s="308"/>
      <c r="S171" s="349"/>
      <c r="T171" s="349"/>
      <c r="U171" s="90" t="str">
        <f>IF(ISERROR(VLOOKUP($T171, 'Reference data'!$J$2:$K$139, 2, FALSE)),"-",VLOOKUP($T171, 'Reference data'!$J$2:$K$139, 2, FALSE))</f>
        <v>-</v>
      </c>
      <c r="V171" s="308"/>
      <c r="W171" s="308"/>
      <c r="X171" s="312"/>
      <c r="Y171" s="313"/>
      <c r="Z171" s="228"/>
      <c r="AA171" s="352"/>
      <c r="AB171" s="82"/>
      <c r="AC171" s="71"/>
      <c r="AD171" s="70"/>
      <c r="AE171" s="226" t="s">
        <v>278</v>
      </c>
      <c r="AF171" s="230" t="s">
        <v>77</v>
      </c>
    </row>
    <row r="172" spans="2:32" ht="13" x14ac:dyDescent="0.3">
      <c r="B172" s="346" t="str">
        <f>IF(C172="","Skip",IF(AND(Validator!J666=TRUE,Validator!J166=TRUE,Validator!J416,Validator!J416=TRUE,Validator!J916=TRUE,Validator!J1166=TRUE,Validator!J1416=TRUE),"Valid","Invalid"))</f>
        <v>Skip</v>
      </c>
      <c r="C172" s="69"/>
      <c r="D172" s="407"/>
      <c r="E172" s="408"/>
      <c r="F172" s="519"/>
      <c r="G172" s="205"/>
      <c r="H172" s="519"/>
      <c r="I172" s="194"/>
      <c r="J172" s="414"/>
      <c r="K172" s="395"/>
      <c r="L172" s="412"/>
      <c r="M172" s="310"/>
      <c r="N172" s="413"/>
      <c r="O172" s="398" t="s">
        <v>278</v>
      </c>
      <c r="P172" s="399" t="s">
        <v>77</v>
      </c>
      <c r="Q172" s="348"/>
      <c r="R172" s="308"/>
      <c r="S172" s="349"/>
      <c r="T172" s="349"/>
      <c r="U172" s="90" t="str">
        <f>IF(ISERROR(VLOOKUP($T172, 'Reference data'!$J$2:$K$139, 2, FALSE)),"-",VLOOKUP($T172, 'Reference data'!$J$2:$K$139, 2, FALSE))</f>
        <v>-</v>
      </c>
      <c r="V172" s="308"/>
      <c r="W172" s="308"/>
      <c r="X172" s="312"/>
      <c r="Y172" s="313"/>
      <c r="Z172" s="228"/>
      <c r="AA172" s="352"/>
      <c r="AB172" s="82"/>
      <c r="AC172" s="71"/>
      <c r="AD172" s="70"/>
      <c r="AE172" s="226" t="s">
        <v>278</v>
      </c>
      <c r="AF172" s="230" t="s">
        <v>77</v>
      </c>
    </row>
    <row r="173" spans="2:32" ht="13" x14ac:dyDescent="0.3">
      <c r="B173" s="346" t="str">
        <f>IF(C173="","Skip",IF(AND(Validator!J667=TRUE,Validator!J167=TRUE,Validator!J417,Validator!J417=TRUE,Validator!J917=TRUE,Validator!J1167=TRUE,Validator!J1417=TRUE),"Valid","Invalid"))</f>
        <v>Skip</v>
      </c>
      <c r="C173" s="69"/>
      <c r="D173" s="407"/>
      <c r="E173" s="408"/>
      <c r="F173" s="519"/>
      <c r="G173" s="205"/>
      <c r="H173" s="519"/>
      <c r="I173" s="194"/>
      <c r="J173" s="414"/>
      <c r="K173" s="395"/>
      <c r="L173" s="412"/>
      <c r="M173" s="310"/>
      <c r="N173" s="413"/>
      <c r="O173" s="398" t="s">
        <v>278</v>
      </c>
      <c r="P173" s="399" t="s">
        <v>77</v>
      </c>
      <c r="Q173" s="348"/>
      <c r="R173" s="308"/>
      <c r="S173" s="349"/>
      <c r="T173" s="349"/>
      <c r="U173" s="90" t="str">
        <f>IF(ISERROR(VLOOKUP($T173, 'Reference data'!$J$2:$K$139, 2, FALSE)),"-",VLOOKUP($T173, 'Reference data'!$J$2:$K$139, 2, FALSE))</f>
        <v>-</v>
      </c>
      <c r="V173" s="308"/>
      <c r="W173" s="308"/>
      <c r="X173" s="312"/>
      <c r="Y173" s="313"/>
      <c r="Z173" s="228"/>
      <c r="AA173" s="352"/>
      <c r="AB173" s="82"/>
      <c r="AC173" s="71"/>
      <c r="AD173" s="70"/>
      <c r="AE173" s="226" t="s">
        <v>278</v>
      </c>
      <c r="AF173" s="230" t="s">
        <v>77</v>
      </c>
    </row>
    <row r="174" spans="2:32" ht="13" x14ac:dyDescent="0.3">
      <c r="B174" s="346" t="str">
        <f>IF(C174="","Skip",IF(AND(Validator!J668=TRUE,Validator!J168=TRUE,Validator!J418,Validator!J418=TRUE,Validator!J918=TRUE,Validator!J1168=TRUE,Validator!J1418=TRUE),"Valid","Invalid"))</f>
        <v>Skip</v>
      </c>
      <c r="C174" s="69"/>
      <c r="D174" s="407"/>
      <c r="E174" s="408"/>
      <c r="F174" s="519"/>
      <c r="G174" s="205"/>
      <c r="H174" s="519"/>
      <c r="I174" s="194"/>
      <c r="J174" s="414"/>
      <c r="K174" s="395"/>
      <c r="L174" s="412"/>
      <c r="M174" s="310"/>
      <c r="N174" s="413"/>
      <c r="O174" s="398" t="s">
        <v>278</v>
      </c>
      <c r="P174" s="399" t="s">
        <v>77</v>
      </c>
      <c r="Q174" s="348"/>
      <c r="R174" s="308"/>
      <c r="S174" s="349"/>
      <c r="T174" s="349"/>
      <c r="U174" s="90" t="str">
        <f>IF(ISERROR(VLOOKUP($T174, 'Reference data'!$J$2:$K$139, 2, FALSE)),"-",VLOOKUP($T174, 'Reference data'!$J$2:$K$139, 2, FALSE))</f>
        <v>-</v>
      </c>
      <c r="V174" s="308"/>
      <c r="W174" s="308"/>
      <c r="X174" s="312"/>
      <c r="Y174" s="313"/>
      <c r="Z174" s="228"/>
      <c r="AA174" s="352"/>
      <c r="AB174" s="82"/>
      <c r="AC174" s="71"/>
      <c r="AD174" s="70"/>
      <c r="AE174" s="226" t="s">
        <v>278</v>
      </c>
      <c r="AF174" s="230" t="s">
        <v>77</v>
      </c>
    </row>
    <row r="175" spans="2:32" ht="13" x14ac:dyDescent="0.3">
      <c r="B175" s="346" t="str">
        <f>IF(C175="","Skip",IF(AND(Validator!J669=TRUE,Validator!J169=TRUE,Validator!J419,Validator!J419=TRUE,Validator!J919=TRUE,Validator!J1169=TRUE,Validator!J1419=TRUE),"Valid","Invalid"))</f>
        <v>Skip</v>
      </c>
      <c r="C175" s="69"/>
      <c r="D175" s="407"/>
      <c r="E175" s="408"/>
      <c r="F175" s="519"/>
      <c r="G175" s="205"/>
      <c r="H175" s="519"/>
      <c r="I175" s="194"/>
      <c r="J175" s="414"/>
      <c r="K175" s="395"/>
      <c r="L175" s="412"/>
      <c r="M175" s="310"/>
      <c r="N175" s="413"/>
      <c r="O175" s="398" t="s">
        <v>278</v>
      </c>
      <c r="P175" s="399" t="s">
        <v>77</v>
      </c>
      <c r="Q175" s="348"/>
      <c r="R175" s="308"/>
      <c r="S175" s="349"/>
      <c r="T175" s="349"/>
      <c r="U175" s="90" t="str">
        <f>IF(ISERROR(VLOOKUP($T175, 'Reference data'!$J$2:$K$139, 2, FALSE)),"-",VLOOKUP($T175, 'Reference data'!$J$2:$K$139, 2, FALSE))</f>
        <v>-</v>
      </c>
      <c r="V175" s="308"/>
      <c r="W175" s="308"/>
      <c r="X175" s="312"/>
      <c r="Y175" s="313"/>
      <c r="Z175" s="228"/>
      <c r="AA175" s="352"/>
      <c r="AB175" s="82"/>
      <c r="AC175" s="71"/>
      <c r="AD175" s="70"/>
      <c r="AE175" s="226" t="s">
        <v>278</v>
      </c>
      <c r="AF175" s="230" t="s">
        <v>77</v>
      </c>
    </row>
    <row r="176" spans="2:32" ht="13" x14ac:dyDescent="0.3">
      <c r="B176" s="346" t="str">
        <f>IF(C176="","Skip",IF(AND(Validator!J670=TRUE,Validator!J170=TRUE,Validator!J420,Validator!J420=TRUE,Validator!J920=TRUE,Validator!J1170=TRUE,Validator!J1420=TRUE),"Valid","Invalid"))</f>
        <v>Skip</v>
      </c>
      <c r="C176" s="69"/>
      <c r="D176" s="407"/>
      <c r="E176" s="408"/>
      <c r="F176" s="519"/>
      <c r="G176" s="205"/>
      <c r="H176" s="519"/>
      <c r="I176" s="194"/>
      <c r="J176" s="414"/>
      <c r="K176" s="395"/>
      <c r="L176" s="412"/>
      <c r="M176" s="310"/>
      <c r="N176" s="413"/>
      <c r="O176" s="398" t="s">
        <v>278</v>
      </c>
      <c r="P176" s="399" t="s">
        <v>77</v>
      </c>
      <c r="Q176" s="348"/>
      <c r="R176" s="308"/>
      <c r="S176" s="349"/>
      <c r="T176" s="349"/>
      <c r="U176" s="90" t="str">
        <f>IF(ISERROR(VLOOKUP($T176, 'Reference data'!$J$2:$K$139, 2, FALSE)),"-",VLOOKUP($T176, 'Reference data'!$J$2:$K$139, 2, FALSE))</f>
        <v>-</v>
      </c>
      <c r="V176" s="308"/>
      <c r="W176" s="308"/>
      <c r="X176" s="312"/>
      <c r="Y176" s="313"/>
      <c r="Z176" s="228"/>
      <c r="AA176" s="352"/>
      <c r="AB176" s="82"/>
      <c r="AC176" s="71"/>
      <c r="AD176" s="70"/>
      <c r="AE176" s="226" t="s">
        <v>278</v>
      </c>
      <c r="AF176" s="230" t="s">
        <v>77</v>
      </c>
    </row>
    <row r="177" spans="2:32" ht="13" x14ac:dyDescent="0.3">
      <c r="B177" s="346" t="str">
        <f>IF(C177="","Skip",IF(AND(Validator!J671=TRUE,Validator!J171=TRUE,Validator!J421,Validator!J421=TRUE,Validator!J921=TRUE,Validator!J1171=TRUE,Validator!J1421=TRUE),"Valid","Invalid"))</f>
        <v>Skip</v>
      </c>
      <c r="C177" s="69"/>
      <c r="D177" s="407"/>
      <c r="E177" s="408"/>
      <c r="F177" s="519"/>
      <c r="G177" s="205"/>
      <c r="H177" s="519"/>
      <c r="I177" s="194"/>
      <c r="J177" s="414"/>
      <c r="K177" s="395"/>
      <c r="L177" s="412"/>
      <c r="M177" s="310"/>
      <c r="N177" s="413"/>
      <c r="O177" s="398" t="s">
        <v>278</v>
      </c>
      <c r="P177" s="399" t="s">
        <v>77</v>
      </c>
      <c r="Q177" s="348"/>
      <c r="R177" s="308"/>
      <c r="S177" s="349"/>
      <c r="T177" s="349"/>
      <c r="U177" s="90" t="str">
        <f>IF(ISERROR(VLOOKUP($T177, 'Reference data'!$J$2:$K$139, 2, FALSE)),"-",VLOOKUP($T177, 'Reference data'!$J$2:$K$139, 2, FALSE))</f>
        <v>-</v>
      </c>
      <c r="V177" s="308"/>
      <c r="W177" s="308"/>
      <c r="X177" s="312"/>
      <c r="Y177" s="313"/>
      <c r="Z177" s="228"/>
      <c r="AA177" s="352"/>
      <c r="AB177" s="82"/>
      <c r="AC177" s="71"/>
      <c r="AD177" s="70"/>
      <c r="AE177" s="226" t="s">
        <v>278</v>
      </c>
      <c r="AF177" s="230" t="s">
        <v>77</v>
      </c>
    </row>
    <row r="178" spans="2:32" ht="13" x14ac:dyDescent="0.3">
      <c r="B178" s="346" t="str">
        <f>IF(C178="","Skip",IF(AND(Validator!J672=TRUE,Validator!J172=TRUE,Validator!J422,Validator!J422=TRUE,Validator!J922=TRUE,Validator!J1172=TRUE,Validator!J1422=TRUE),"Valid","Invalid"))</f>
        <v>Skip</v>
      </c>
      <c r="C178" s="69"/>
      <c r="D178" s="407"/>
      <c r="E178" s="408"/>
      <c r="F178" s="519"/>
      <c r="G178" s="205"/>
      <c r="H178" s="519"/>
      <c r="I178" s="194"/>
      <c r="J178" s="414"/>
      <c r="K178" s="395"/>
      <c r="L178" s="412"/>
      <c r="M178" s="310"/>
      <c r="N178" s="413"/>
      <c r="O178" s="398" t="s">
        <v>278</v>
      </c>
      <c r="P178" s="399" t="s">
        <v>77</v>
      </c>
      <c r="Q178" s="348"/>
      <c r="R178" s="308"/>
      <c r="S178" s="349"/>
      <c r="T178" s="349"/>
      <c r="U178" s="90" t="str">
        <f>IF(ISERROR(VLOOKUP($T178, 'Reference data'!$J$2:$K$139, 2, FALSE)),"-",VLOOKUP($T178, 'Reference data'!$J$2:$K$139, 2, FALSE))</f>
        <v>-</v>
      </c>
      <c r="V178" s="308"/>
      <c r="W178" s="308"/>
      <c r="X178" s="312"/>
      <c r="Y178" s="313"/>
      <c r="Z178" s="228"/>
      <c r="AA178" s="352"/>
      <c r="AB178" s="82"/>
      <c r="AC178" s="71"/>
      <c r="AD178" s="70"/>
      <c r="AE178" s="226" t="s">
        <v>278</v>
      </c>
      <c r="AF178" s="230" t="s">
        <v>77</v>
      </c>
    </row>
    <row r="179" spans="2:32" ht="13" x14ac:dyDescent="0.3">
      <c r="B179" s="346" t="str">
        <f>IF(C179="","Skip",IF(AND(Validator!J673=TRUE,Validator!J173=TRUE,Validator!J423,Validator!J423=TRUE,Validator!J923=TRUE,Validator!J1173=TRUE,Validator!J1423=TRUE),"Valid","Invalid"))</f>
        <v>Skip</v>
      </c>
      <c r="C179" s="69"/>
      <c r="D179" s="407"/>
      <c r="E179" s="408"/>
      <c r="F179" s="519"/>
      <c r="G179" s="205"/>
      <c r="H179" s="519"/>
      <c r="I179" s="194"/>
      <c r="J179" s="414"/>
      <c r="K179" s="395"/>
      <c r="L179" s="412"/>
      <c r="M179" s="310"/>
      <c r="N179" s="413"/>
      <c r="O179" s="398" t="s">
        <v>278</v>
      </c>
      <c r="P179" s="399" t="s">
        <v>77</v>
      </c>
      <c r="Q179" s="348"/>
      <c r="R179" s="308"/>
      <c r="S179" s="349"/>
      <c r="T179" s="349"/>
      <c r="U179" s="90" t="str">
        <f>IF(ISERROR(VLOOKUP($T179, 'Reference data'!$J$2:$K$139, 2, FALSE)),"-",VLOOKUP($T179, 'Reference data'!$J$2:$K$139, 2, FALSE))</f>
        <v>-</v>
      </c>
      <c r="V179" s="308"/>
      <c r="W179" s="308"/>
      <c r="X179" s="312"/>
      <c r="Y179" s="313"/>
      <c r="Z179" s="228"/>
      <c r="AA179" s="352"/>
      <c r="AB179" s="82"/>
      <c r="AC179" s="71"/>
      <c r="AD179" s="70"/>
      <c r="AE179" s="226" t="s">
        <v>278</v>
      </c>
      <c r="AF179" s="230" t="s">
        <v>77</v>
      </c>
    </row>
    <row r="180" spans="2:32" ht="13" x14ac:dyDescent="0.3">
      <c r="B180" s="346" t="str">
        <f>IF(C180="","Skip",IF(AND(Validator!J674=TRUE,Validator!J174=TRUE,Validator!J424,Validator!J424=TRUE,Validator!J924=TRUE,Validator!J1174=TRUE,Validator!J1424=TRUE),"Valid","Invalid"))</f>
        <v>Skip</v>
      </c>
      <c r="C180" s="69"/>
      <c r="D180" s="407"/>
      <c r="E180" s="408"/>
      <c r="F180" s="519"/>
      <c r="G180" s="205"/>
      <c r="H180" s="519"/>
      <c r="I180" s="194"/>
      <c r="J180" s="414"/>
      <c r="K180" s="395"/>
      <c r="L180" s="412"/>
      <c r="M180" s="310"/>
      <c r="N180" s="413"/>
      <c r="O180" s="398" t="s">
        <v>278</v>
      </c>
      <c r="P180" s="399" t="s">
        <v>77</v>
      </c>
      <c r="Q180" s="348"/>
      <c r="R180" s="308"/>
      <c r="S180" s="349"/>
      <c r="T180" s="349"/>
      <c r="U180" s="90" t="str">
        <f>IF(ISERROR(VLOOKUP($T180, 'Reference data'!$J$2:$K$139, 2, FALSE)),"-",VLOOKUP($T180, 'Reference data'!$J$2:$K$139, 2, FALSE))</f>
        <v>-</v>
      </c>
      <c r="V180" s="308"/>
      <c r="W180" s="308"/>
      <c r="X180" s="312"/>
      <c r="Y180" s="313"/>
      <c r="Z180" s="228"/>
      <c r="AA180" s="352"/>
      <c r="AB180" s="82"/>
      <c r="AC180" s="71"/>
      <c r="AD180" s="70"/>
      <c r="AE180" s="226" t="s">
        <v>278</v>
      </c>
      <c r="AF180" s="230" t="s">
        <v>77</v>
      </c>
    </row>
    <row r="181" spans="2:32" ht="13" x14ac:dyDescent="0.3">
      <c r="B181" s="346" t="str">
        <f>IF(C181="","Skip",IF(AND(Validator!J675=TRUE,Validator!J175=TRUE,Validator!J425,Validator!J425=TRUE,Validator!J925=TRUE,Validator!J1175=TRUE,Validator!J1425=TRUE),"Valid","Invalid"))</f>
        <v>Skip</v>
      </c>
      <c r="C181" s="69"/>
      <c r="D181" s="407"/>
      <c r="E181" s="408"/>
      <c r="F181" s="519"/>
      <c r="G181" s="205"/>
      <c r="H181" s="519"/>
      <c r="I181" s="194"/>
      <c r="J181" s="414"/>
      <c r="K181" s="395"/>
      <c r="L181" s="412"/>
      <c r="M181" s="310"/>
      <c r="N181" s="413"/>
      <c r="O181" s="398" t="s">
        <v>278</v>
      </c>
      <c r="P181" s="399" t="s">
        <v>77</v>
      </c>
      <c r="Q181" s="348"/>
      <c r="R181" s="308"/>
      <c r="S181" s="349"/>
      <c r="T181" s="349"/>
      <c r="U181" s="90" t="str">
        <f>IF(ISERROR(VLOOKUP($T181, 'Reference data'!$J$2:$K$139, 2, FALSE)),"-",VLOOKUP($T181, 'Reference data'!$J$2:$K$139, 2, FALSE))</f>
        <v>-</v>
      </c>
      <c r="V181" s="308"/>
      <c r="W181" s="308"/>
      <c r="X181" s="312"/>
      <c r="Y181" s="313"/>
      <c r="Z181" s="228"/>
      <c r="AA181" s="352"/>
      <c r="AB181" s="82"/>
      <c r="AC181" s="71"/>
      <c r="AD181" s="70"/>
      <c r="AE181" s="226" t="s">
        <v>278</v>
      </c>
      <c r="AF181" s="230" t="s">
        <v>77</v>
      </c>
    </row>
    <row r="182" spans="2:32" ht="13" x14ac:dyDescent="0.3">
      <c r="B182" s="346" t="str">
        <f>IF(C182="","Skip",IF(AND(Validator!J676=TRUE,Validator!J176=TRUE,Validator!J426,Validator!J426=TRUE,Validator!J926=TRUE,Validator!J1176=TRUE,Validator!J1426=TRUE),"Valid","Invalid"))</f>
        <v>Skip</v>
      </c>
      <c r="C182" s="69"/>
      <c r="D182" s="407"/>
      <c r="E182" s="408"/>
      <c r="F182" s="519"/>
      <c r="G182" s="205"/>
      <c r="H182" s="519"/>
      <c r="I182" s="194"/>
      <c r="J182" s="414"/>
      <c r="K182" s="395"/>
      <c r="L182" s="412"/>
      <c r="M182" s="310"/>
      <c r="N182" s="413"/>
      <c r="O182" s="398" t="s">
        <v>278</v>
      </c>
      <c r="P182" s="399" t="s">
        <v>77</v>
      </c>
      <c r="Q182" s="348"/>
      <c r="R182" s="308"/>
      <c r="S182" s="349"/>
      <c r="T182" s="349"/>
      <c r="U182" s="90" t="str">
        <f>IF(ISERROR(VLOOKUP($T182, 'Reference data'!$J$2:$K$139, 2, FALSE)),"-",VLOOKUP($T182, 'Reference data'!$J$2:$K$139, 2, FALSE))</f>
        <v>-</v>
      </c>
      <c r="V182" s="308"/>
      <c r="W182" s="308"/>
      <c r="X182" s="312"/>
      <c r="Y182" s="313"/>
      <c r="Z182" s="228"/>
      <c r="AA182" s="352"/>
      <c r="AB182" s="82"/>
      <c r="AC182" s="71"/>
      <c r="AD182" s="70"/>
      <c r="AE182" s="226" t="s">
        <v>278</v>
      </c>
      <c r="AF182" s="230" t="s">
        <v>77</v>
      </c>
    </row>
    <row r="183" spans="2:32" ht="13" x14ac:dyDescent="0.3">
      <c r="B183" s="346" t="str">
        <f>IF(C183="","Skip",IF(AND(Validator!J677=TRUE,Validator!J177=TRUE,Validator!J427,Validator!J427=TRUE,Validator!J927=TRUE,Validator!J1177=TRUE,Validator!J1427=TRUE),"Valid","Invalid"))</f>
        <v>Skip</v>
      </c>
      <c r="C183" s="69"/>
      <c r="D183" s="407"/>
      <c r="E183" s="408"/>
      <c r="F183" s="519"/>
      <c r="G183" s="205"/>
      <c r="H183" s="519"/>
      <c r="I183" s="194"/>
      <c r="J183" s="414"/>
      <c r="K183" s="395"/>
      <c r="L183" s="412"/>
      <c r="M183" s="310"/>
      <c r="N183" s="413"/>
      <c r="O183" s="398" t="s">
        <v>278</v>
      </c>
      <c r="P183" s="399" t="s">
        <v>77</v>
      </c>
      <c r="Q183" s="348"/>
      <c r="R183" s="308"/>
      <c r="S183" s="349"/>
      <c r="T183" s="349"/>
      <c r="U183" s="90" t="str">
        <f>IF(ISERROR(VLOOKUP($T183, 'Reference data'!$J$2:$K$139, 2, FALSE)),"-",VLOOKUP($T183, 'Reference data'!$J$2:$K$139, 2, FALSE))</f>
        <v>-</v>
      </c>
      <c r="V183" s="308"/>
      <c r="W183" s="308"/>
      <c r="X183" s="312"/>
      <c r="Y183" s="313"/>
      <c r="Z183" s="228"/>
      <c r="AA183" s="352"/>
      <c r="AB183" s="82"/>
      <c r="AC183" s="71"/>
      <c r="AD183" s="70"/>
      <c r="AE183" s="226" t="s">
        <v>278</v>
      </c>
      <c r="AF183" s="230" t="s">
        <v>77</v>
      </c>
    </row>
    <row r="184" spans="2:32" ht="13" x14ac:dyDescent="0.3">
      <c r="B184" s="346" t="str">
        <f>IF(C184="","Skip",IF(AND(Validator!J678=TRUE,Validator!J178=TRUE,Validator!J428,Validator!J428=TRUE,Validator!J928=TRUE,Validator!J1178=TRUE,Validator!J1428=TRUE),"Valid","Invalid"))</f>
        <v>Skip</v>
      </c>
      <c r="C184" s="69"/>
      <c r="D184" s="407"/>
      <c r="E184" s="408"/>
      <c r="F184" s="519"/>
      <c r="G184" s="205"/>
      <c r="H184" s="519"/>
      <c r="I184" s="194"/>
      <c r="J184" s="414"/>
      <c r="K184" s="395"/>
      <c r="L184" s="412"/>
      <c r="M184" s="310"/>
      <c r="N184" s="413"/>
      <c r="O184" s="398" t="s">
        <v>278</v>
      </c>
      <c r="P184" s="399" t="s">
        <v>77</v>
      </c>
      <c r="Q184" s="348"/>
      <c r="R184" s="308"/>
      <c r="S184" s="349"/>
      <c r="T184" s="349"/>
      <c r="U184" s="90" t="str">
        <f>IF(ISERROR(VLOOKUP($T184, 'Reference data'!$J$2:$K$139, 2, FALSE)),"-",VLOOKUP($T184, 'Reference data'!$J$2:$K$139, 2, FALSE))</f>
        <v>-</v>
      </c>
      <c r="V184" s="308"/>
      <c r="W184" s="308"/>
      <c r="X184" s="312"/>
      <c r="Y184" s="313"/>
      <c r="Z184" s="228"/>
      <c r="AA184" s="352"/>
      <c r="AB184" s="82"/>
      <c r="AC184" s="71"/>
      <c r="AD184" s="70"/>
      <c r="AE184" s="226" t="s">
        <v>278</v>
      </c>
      <c r="AF184" s="230" t="s">
        <v>77</v>
      </c>
    </row>
    <row r="185" spans="2:32" ht="13" x14ac:dyDescent="0.3">
      <c r="B185" s="346" t="str">
        <f>IF(C185="","Skip",IF(AND(Validator!J679=TRUE,Validator!J179=TRUE,Validator!J429,Validator!J429=TRUE,Validator!J929=TRUE,Validator!J1179=TRUE,Validator!J1429=TRUE),"Valid","Invalid"))</f>
        <v>Skip</v>
      </c>
      <c r="C185" s="69"/>
      <c r="D185" s="407"/>
      <c r="E185" s="408"/>
      <c r="F185" s="519"/>
      <c r="G185" s="205"/>
      <c r="H185" s="519"/>
      <c r="I185" s="194"/>
      <c r="J185" s="414"/>
      <c r="K185" s="395"/>
      <c r="L185" s="412"/>
      <c r="M185" s="310"/>
      <c r="N185" s="413"/>
      <c r="O185" s="398" t="s">
        <v>278</v>
      </c>
      <c r="P185" s="399" t="s">
        <v>77</v>
      </c>
      <c r="Q185" s="348"/>
      <c r="R185" s="308"/>
      <c r="S185" s="349"/>
      <c r="T185" s="349"/>
      <c r="U185" s="90" t="str">
        <f>IF(ISERROR(VLOOKUP($T185, 'Reference data'!$J$2:$K$139, 2, FALSE)),"-",VLOOKUP($T185, 'Reference data'!$J$2:$K$139, 2, FALSE))</f>
        <v>-</v>
      </c>
      <c r="V185" s="308"/>
      <c r="W185" s="308"/>
      <c r="X185" s="312"/>
      <c r="Y185" s="313"/>
      <c r="Z185" s="228"/>
      <c r="AA185" s="352"/>
      <c r="AB185" s="82"/>
      <c r="AC185" s="71"/>
      <c r="AD185" s="70"/>
      <c r="AE185" s="226" t="s">
        <v>278</v>
      </c>
      <c r="AF185" s="230" t="s">
        <v>77</v>
      </c>
    </row>
    <row r="186" spans="2:32" ht="13" x14ac:dyDescent="0.3">
      <c r="B186" s="346" t="str">
        <f>IF(C186="","Skip",IF(AND(Validator!J680=TRUE,Validator!J180=TRUE,Validator!J430,Validator!J430=TRUE,Validator!J930=TRUE,Validator!J1180=TRUE,Validator!J1430=TRUE),"Valid","Invalid"))</f>
        <v>Skip</v>
      </c>
      <c r="C186" s="69"/>
      <c r="D186" s="407"/>
      <c r="E186" s="408"/>
      <c r="F186" s="519"/>
      <c r="G186" s="205"/>
      <c r="H186" s="519"/>
      <c r="I186" s="194"/>
      <c r="J186" s="414"/>
      <c r="K186" s="395"/>
      <c r="L186" s="412"/>
      <c r="M186" s="310"/>
      <c r="N186" s="413"/>
      <c r="O186" s="398" t="s">
        <v>278</v>
      </c>
      <c r="P186" s="399" t="s">
        <v>77</v>
      </c>
      <c r="Q186" s="348"/>
      <c r="R186" s="308"/>
      <c r="S186" s="349"/>
      <c r="T186" s="349"/>
      <c r="U186" s="90" t="str">
        <f>IF(ISERROR(VLOOKUP($T186, 'Reference data'!$J$2:$K$139, 2, FALSE)),"-",VLOOKUP($T186, 'Reference data'!$J$2:$K$139, 2, FALSE))</f>
        <v>-</v>
      </c>
      <c r="V186" s="308"/>
      <c r="W186" s="308"/>
      <c r="X186" s="312"/>
      <c r="Y186" s="313"/>
      <c r="Z186" s="228"/>
      <c r="AA186" s="352"/>
      <c r="AB186" s="82"/>
      <c r="AC186" s="71"/>
      <c r="AD186" s="70"/>
      <c r="AE186" s="226" t="s">
        <v>278</v>
      </c>
      <c r="AF186" s="230" t="s">
        <v>77</v>
      </c>
    </row>
    <row r="187" spans="2:32" ht="13" x14ac:dyDescent="0.3">
      <c r="B187" s="346" t="str">
        <f>IF(C187="","Skip",IF(AND(Validator!J681=TRUE,Validator!J181=TRUE,Validator!J431,Validator!J431=TRUE,Validator!J931=TRUE,Validator!J1181=TRUE,Validator!J1431=TRUE),"Valid","Invalid"))</f>
        <v>Skip</v>
      </c>
      <c r="C187" s="69"/>
      <c r="D187" s="407"/>
      <c r="E187" s="408"/>
      <c r="F187" s="519"/>
      <c r="G187" s="205"/>
      <c r="H187" s="519"/>
      <c r="I187" s="194"/>
      <c r="J187" s="414"/>
      <c r="K187" s="395"/>
      <c r="L187" s="412"/>
      <c r="M187" s="310"/>
      <c r="N187" s="413"/>
      <c r="O187" s="398" t="s">
        <v>278</v>
      </c>
      <c r="P187" s="399" t="s">
        <v>77</v>
      </c>
      <c r="Q187" s="348"/>
      <c r="R187" s="308"/>
      <c r="S187" s="349"/>
      <c r="T187" s="349"/>
      <c r="U187" s="90" t="str">
        <f>IF(ISERROR(VLOOKUP($T187, 'Reference data'!$J$2:$K$139, 2, FALSE)),"-",VLOOKUP($T187, 'Reference data'!$J$2:$K$139, 2, FALSE))</f>
        <v>-</v>
      </c>
      <c r="V187" s="308"/>
      <c r="W187" s="308"/>
      <c r="X187" s="312"/>
      <c r="Y187" s="313"/>
      <c r="Z187" s="228"/>
      <c r="AA187" s="352"/>
      <c r="AB187" s="82"/>
      <c r="AC187" s="71"/>
      <c r="AD187" s="70"/>
      <c r="AE187" s="226" t="s">
        <v>278</v>
      </c>
      <c r="AF187" s="230" t="s">
        <v>77</v>
      </c>
    </row>
    <row r="188" spans="2:32" ht="13" x14ac:dyDescent="0.3">
      <c r="B188" s="346" t="str">
        <f>IF(C188="","Skip",IF(AND(Validator!J682=TRUE,Validator!J182=TRUE,Validator!J432,Validator!J432=TRUE,Validator!J932=TRUE,Validator!J1182=TRUE,Validator!J1432=TRUE),"Valid","Invalid"))</f>
        <v>Skip</v>
      </c>
      <c r="C188" s="69"/>
      <c r="D188" s="407"/>
      <c r="E188" s="408"/>
      <c r="F188" s="519"/>
      <c r="G188" s="205"/>
      <c r="H188" s="519"/>
      <c r="I188" s="194"/>
      <c r="J188" s="414"/>
      <c r="K188" s="395"/>
      <c r="L188" s="412"/>
      <c r="M188" s="310"/>
      <c r="N188" s="413"/>
      <c r="O188" s="398" t="s">
        <v>278</v>
      </c>
      <c r="P188" s="399" t="s">
        <v>77</v>
      </c>
      <c r="Q188" s="348"/>
      <c r="R188" s="308"/>
      <c r="S188" s="349"/>
      <c r="T188" s="349"/>
      <c r="U188" s="90" t="str">
        <f>IF(ISERROR(VLOOKUP($T188, 'Reference data'!$J$2:$K$139, 2, FALSE)),"-",VLOOKUP($T188, 'Reference data'!$J$2:$K$139, 2, FALSE))</f>
        <v>-</v>
      </c>
      <c r="V188" s="308"/>
      <c r="W188" s="308"/>
      <c r="X188" s="312"/>
      <c r="Y188" s="313"/>
      <c r="Z188" s="228"/>
      <c r="AA188" s="352"/>
      <c r="AB188" s="82"/>
      <c r="AC188" s="71"/>
      <c r="AD188" s="70"/>
      <c r="AE188" s="226" t="s">
        <v>278</v>
      </c>
      <c r="AF188" s="230" t="s">
        <v>77</v>
      </c>
    </row>
    <row r="189" spans="2:32" ht="13" x14ac:dyDescent="0.3">
      <c r="B189" s="346" t="str">
        <f>IF(C189="","Skip",IF(AND(Validator!J683=TRUE,Validator!J183=TRUE,Validator!J433,Validator!J433=TRUE,Validator!J933=TRUE,Validator!J1183=TRUE,Validator!J1433=TRUE),"Valid","Invalid"))</f>
        <v>Skip</v>
      </c>
      <c r="C189" s="69"/>
      <c r="D189" s="407"/>
      <c r="E189" s="408"/>
      <c r="F189" s="519"/>
      <c r="G189" s="205"/>
      <c r="H189" s="519"/>
      <c r="I189" s="194"/>
      <c r="J189" s="414"/>
      <c r="K189" s="395"/>
      <c r="L189" s="412"/>
      <c r="M189" s="310"/>
      <c r="N189" s="413"/>
      <c r="O189" s="398" t="s">
        <v>278</v>
      </c>
      <c r="P189" s="399" t="s">
        <v>77</v>
      </c>
      <c r="Q189" s="348"/>
      <c r="R189" s="308"/>
      <c r="S189" s="349"/>
      <c r="T189" s="349"/>
      <c r="U189" s="90" t="str">
        <f>IF(ISERROR(VLOOKUP($T189, 'Reference data'!$J$2:$K$139, 2, FALSE)),"-",VLOOKUP($T189, 'Reference data'!$J$2:$K$139, 2, FALSE))</f>
        <v>-</v>
      </c>
      <c r="V189" s="308"/>
      <c r="W189" s="308"/>
      <c r="X189" s="312"/>
      <c r="Y189" s="313"/>
      <c r="Z189" s="228"/>
      <c r="AA189" s="352"/>
      <c r="AB189" s="82"/>
      <c r="AC189" s="71"/>
      <c r="AD189" s="70"/>
      <c r="AE189" s="226" t="s">
        <v>278</v>
      </c>
      <c r="AF189" s="230" t="s">
        <v>77</v>
      </c>
    </row>
    <row r="190" spans="2:32" ht="13" x14ac:dyDescent="0.3">
      <c r="B190" s="346" t="str">
        <f>IF(C190="","Skip",IF(AND(Validator!J684=TRUE,Validator!J184=TRUE,Validator!J434,Validator!J434=TRUE,Validator!J934=TRUE,Validator!J1184=TRUE,Validator!J1434=TRUE),"Valid","Invalid"))</f>
        <v>Skip</v>
      </c>
      <c r="C190" s="69"/>
      <c r="D190" s="407"/>
      <c r="E190" s="408"/>
      <c r="F190" s="519"/>
      <c r="G190" s="205"/>
      <c r="H190" s="519"/>
      <c r="I190" s="194"/>
      <c r="J190" s="414"/>
      <c r="K190" s="395"/>
      <c r="L190" s="412"/>
      <c r="M190" s="310"/>
      <c r="N190" s="413"/>
      <c r="O190" s="398" t="s">
        <v>278</v>
      </c>
      <c r="P190" s="399" t="s">
        <v>77</v>
      </c>
      <c r="Q190" s="348"/>
      <c r="R190" s="308"/>
      <c r="S190" s="349"/>
      <c r="T190" s="349"/>
      <c r="U190" s="90" t="str">
        <f>IF(ISERROR(VLOOKUP($T190, 'Reference data'!$J$2:$K$139, 2, FALSE)),"-",VLOOKUP($T190, 'Reference data'!$J$2:$K$139, 2, FALSE))</f>
        <v>-</v>
      </c>
      <c r="V190" s="308"/>
      <c r="W190" s="308"/>
      <c r="X190" s="312"/>
      <c r="Y190" s="313"/>
      <c r="Z190" s="228"/>
      <c r="AA190" s="352"/>
      <c r="AB190" s="82"/>
      <c r="AC190" s="71"/>
      <c r="AD190" s="70"/>
      <c r="AE190" s="226" t="s">
        <v>278</v>
      </c>
      <c r="AF190" s="230" t="s">
        <v>77</v>
      </c>
    </row>
    <row r="191" spans="2:32" ht="13" x14ac:dyDescent="0.3">
      <c r="B191" s="346" t="str">
        <f>IF(C191="","Skip",IF(AND(Validator!J685=TRUE,Validator!J185=TRUE,Validator!J435,Validator!J435=TRUE,Validator!J935=TRUE,Validator!J1185=TRUE,Validator!J1435=TRUE),"Valid","Invalid"))</f>
        <v>Skip</v>
      </c>
      <c r="C191" s="69"/>
      <c r="D191" s="407"/>
      <c r="E191" s="408"/>
      <c r="F191" s="519"/>
      <c r="G191" s="205"/>
      <c r="H191" s="519"/>
      <c r="I191" s="194"/>
      <c r="J191" s="414"/>
      <c r="K191" s="395"/>
      <c r="L191" s="412"/>
      <c r="M191" s="310"/>
      <c r="N191" s="413"/>
      <c r="O191" s="398" t="s">
        <v>278</v>
      </c>
      <c r="P191" s="399" t="s">
        <v>77</v>
      </c>
      <c r="Q191" s="348"/>
      <c r="R191" s="308"/>
      <c r="S191" s="349"/>
      <c r="T191" s="349"/>
      <c r="U191" s="90" t="str">
        <f>IF(ISERROR(VLOOKUP($T191, 'Reference data'!$J$2:$K$139, 2, FALSE)),"-",VLOOKUP($T191, 'Reference data'!$J$2:$K$139, 2, FALSE))</f>
        <v>-</v>
      </c>
      <c r="V191" s="308"/>
      <c r="W191" s="308"/>
      <c r="X191" s="312"/>
      <c r="Y191" s="313"/>
      <c r="Z191" s="228"/>
      <c r="AA191" s="352"/>
      <c r="AB191" s="82"/>
      <c r="AC191" s="71"/>
      <c r="AD191" s="70"/>
      <c r="AE191" s="226" t="s">
        <v>278</v>
      </c>
      <c r="AF191" s="230" t="s">
        <v>77</v>
      </c>
    </row>
    <row r="192" spans="2:32" ht="13" x14ac:dyDescent="0.3">
      <c r="B192" s="346" t="str">
        <f>IF(C192="","Skip",IF(AND(Validator!J686=TRUE,Validator!J186=TRUE,Validator!J436,Validator!J436=TRUE,Validator!J936=TRUE,Validator!J1186=TRUE,Validator!J1436=TRUE),"Valid","Invalid"))</f>
        <v>Skip</v>
      </c>
      <c r="C192" s="69"/>
      <c r="D192" s="407"/>
      <c r="E192" s="408"/>
      <c r="F192" s="519"/>
      <c r="G192" s="205"/>
      <c r="H192" s="519"/>
      <c r="I192" s="194"/>
      <c r="J192" s="414"/>
      <c r="K192" s="395"/>
      <c r="L192" s="412"/>
      <c r="M192" s="310"/>
      <c r="N192" s="413"/>
      <c r="O192" s="398" t="s">
        <v>278</v>
      </c>
      <c r="P192" s="399" t="s">
        <v>77</v>
      </c>
      <c r="Q192" s="348"/>
      <c r="R192" s="308"/>
      <c r="S192" s="349"/>
      <c r="T192" s="349"/>
      <c r="U192" s="90" t="str">
        <f>IF(ISERROR(VLOOKUP($T192, 'Reference data'!$J$2:$K$139, 2, FALSE)),"-",VLOOKUP($T192, 'Reference data'!$J$2:$K$139, 2, FALSE))</f>
        <v>-</v>
      </c>
      <c r="V192" s="308"/>
      <c r="W192" s="308"/>
      <c r="X192" s="312"/>
      <c r="Y192" s="313"/>
      <c r="Z192" s="228"/>
      <c r="AA192" s="352"/>
      <c r="AB192" s="82"/>
      <c r="AC192" s="71"/>
      <c r="AD192" s="70"/>
      <c r="AE192" s="226" t="s">
        <v>278</v>
      </c>
      <c r="AF192" s="230" t="s">
        <v>77</v>
      </c>
    </row>
    <row r="193" spans="2:32" ht="13" x14ac:dyDescent="0.3">
      <c r="B193" s="346" t="str">
        <f>IF(C193="","Skip",IF(AND(Validator!J687=TRUE,Validator!J187=TRUE,Validator!J437,Validator!J437=TRUE,Validator!J937=TRUE,Validator!J1187=TRUE,Validator!J1437=TRUE),"Valid","Invalid"))</f>
        <v>Skip</v>
      </c>
      <c r="C193" s="69"/>
      <c r="D193" s="407"/>
      <c r="E193" s="408"/>
      <c r="F193" s="519"/>
      <c r="G193" s="205"/>
      <c r="H193" s="519"/>
      <c r="I193" s="194"/>
      <c r="J193" s="414"/>
      <c r="K193" s="395"/>
      <c r="L193" s="412"/>
      <c r="M193" s="310"/>
      <c r="N193" s="413"/>
      <c r="O193" s="398" t="s">
        <v>278</v>
      </c>
      <c r="P193" s="399" t="s">
        <v>77</v>
      </c>
      <c r="Q193" s="348"/>
      <c r="R193" s="308"/>
      <c r="S193" s="349"/>
      <c r="T193" s="349"/>
      <c r="U193" s="90" t="str">
        <f>IF(ISERROR(VLOOKUP($T193, 'Reference data'!$J$2:$K$139, 2, FALSE)),"-",VLOOKUP($T193, 'Reference data'!$J$2:$K$139, 2, FALSE))</f>
        <v>-</v>
      </c>
      <c r="V193" s="308"/>
      <c r="W193" s="308"/>
      <c r="X193" s="312"/>
      <c r="Y193" s="313"/>
      <c r="Z193" s="228"/>
      <c r="AA193" s="352"/>
      <c r="AB193" s="82"/>
      <c r="AC193" s="71"/>
      <c r="AD193" s="70"/>
      <c r="AE193" s="226" t="s">
        <v>278</v>
      </c>
      <c r="AF193" s="230" t="s">
        <v>77</v>
      </c>
    </row>
    <row r="194" spans="2:32" ht="13" x14ac:dyDescent="0.3">
      <c r="B194" s="346" t="str">
        <f>IF(C194="","Skip",IF(AND(Validator!J688=TRUE,Validator!J188=TRUE,Validator!J438,Validator!J438=TRUE,Validator!J938=TRUE,Validator!J1188=TRUE,Validator!J1438=TRUE),"Valid","Invalid"))</f>
        <v>Skip</v>
      </c>
      <c r="C194" s="69"/>
      <c r="D194" s="407"/>
      <c r="E194" s="408"/>
      <c r="F194" s="519"/>
      <c r="G194" s="205"/>
      <c r="H194" s="519"/>
      <c r="I194" s="194"/>
      <c r="J194" s="414"/>
      <c r="K194" s="395"/>
      <c r="L194" s="412"/>
      <c r="M194" s="310"/>
      <c r="N194" s="413"/>
      <c r="O194" s="398" t="s">
        <v>278</v>
      </c>
      <c r="P194" s="399" t="s">
        <v>77</v>
      </c>
      <c r="Q194" s="348"/>
      <c r="R194" s="308"/>
      <c r="S194" s="349"/>
      <c r="T194" s="349"/>
      <c r="U194" s="90" t="str">
        <f>IF(ISERROR(VLOOKUP($T194, 'Reference data'!$J$2:$K$139, 2, FALSE)),"-",VLOOKUP($T194, 'Reference data'!$J$2:$K$139, 2, FALSE))</f>
        <v>-</v>
      </c>
      <c r="V194" s="308"/>
      <c r="W194" s="308"/>
      <c r="X194" s="312"/>
      <c r="Y194" s="313"/>
      <c r="Z194" s="228"/>
      <c r="AA194" s="352"/>
      <c r="AB194" s="82"/>
      <c r="AC194" s="71"/>
      <c r="AD194" s="70"/>
      <c r="AE194" s="226" t="s">
        <v>278</v>
      </c>
      <c r="AF194" s="230" t="s">
        <v>77</v>
      </c>
    </row>
    <row r="195" spans="2:32" ht="13" x14ac:dyDescent="0.3">
      <c r="B195" s="346" t="str">
        <f>IF(C195="","Skip",IF(AND(Validator!J689=TRUE,Validator!J189=TRUE,Validator!J439,Validator!J439=TRUE,Validator!J939=TRUE,Validator!J1189=TRUE,Validator!J1439=TRUE),"Valid","Invalid"))</f>
        <v>Skip</v>
      </c>
      <c r="C195" s="69"/>
      <c r="D195" s="407"/>
      <c r="E195" s="408"/>
      <c r="F195" s="519"/>
      <c r="G195" s="205"/>
      <c r="H195" s="519"/>
      <c r="I195" s="194"/>
      <c r="J195" s="414"/>
      <c r="K195" s="395"/>
      <c r="L195" s="412"/>
      <c r="M195" s="310"/>
      <c r="N195" s="413"/>
      <c r="O195" s="398" t="s">
        <v>278</v>
      </c>
      <c r="P195" s="399" t="s">
        <v>77</v>
      </c>
      <c r="Q195" s="348"/>
      <c r="R195" s="308"/>
      <c r="S195" s="349"/>
      <c r="T195" s="349"/>
      <c r="U195" s="90" t="str">
        <f>IF(ISERROR(VLOOKUP($T195, 'Reference data'!$J$2:$K$139, 2, FALSE)),"-",VLOOKUP($T195, 'Reference data'!$J$2:$K$139, 2, FALSE))</f>
        <v>-</v>
      </c>
      <c r="V195" s="308"/>
      <c r="W195" s="308"/>
      <c r="X195" s="312"/>
      <c r="Y195" s="313"/>
      <c r="Z195" s="228"/>
      <c r="AA195" s="352"/>
      <c r="AB195" s="82"/>
      <c r="AC195" s="71"/>
      <c r="AD195" s="70"/>
      <c r="AE195" s="226" t="s">
        <v>278</v>
      </c>
      <c r="AF195" s="230" t="s">
        <v>77</v>
      </c>
    </row>
    <row r="196" spans="2:32" ht="13" x14ac:dyDescent="0.3">
      <c r="B196" s="346" t="str">
        <f>IF(C196="","Skip",IF(AND(Validator!J690=TRUE,Validator!J190=TRUE,Validator!J440,Validator!J440=TRUE,Validator!J940=TRUE,Validator!J1190=TRUE,Validator!J1440=TRUE),"Valid","Invalid"))</f>
        <v>Skip</v>
      </c>
      <c r="C196" s="69"/>
      <c r="D196" s="407"/>
      <c r="E196" s="408"/>
      <c r="F196" s="519"/>
      <c r="G196" s="205"/>
      <c r="H196" s="519"/>
      <c r="I196" s="194"/>
      <c r="J196" s="414"/>
      <c r="K196" s="395"/>
      <c r="L196" s="412"/>
      <c r="M196" s="310"/>
      <c r="N196" s="413"/>
      <c r="O196" s="398" t="s">
        <v>278</v>
      </c>
      <c r="P196" s="399" t="s">
        <v>77</v>
      </c>
      <c r="Q196" s="348"/>
      <c r="R196" s="308"/>
      <c r="S196" s="349"/>
      <c r="T196" s="349"/>
      <c r="U196" s="90" t="str">
        <f>IF(ISERROR(VLOOKUP($T196, 'Reference data'!$J$2:$K$139, 2, FALSE)),"-",VLOOKUP($T196, 'Reference data'!$J$2:$K$139, 2, FALSE))</f>
        <v>-</v>
      </c>
      <c r="V196" s="308"/>
      <c r="W196" s="308"/>
      <c r="X196" s="312"/>
      <c r="Y196" s="313"/>
      <c r="Z196" s="228"/>
      <c r="AA196" s="352"/>
      <c r="AB196" s="82"/>
      <c r="AC196" s="71"/>
      <c r="AD196" s="70"/>
      <c r="AE196" s="226" t="s">
        <v>278</v>
      </c>
      <c r="AF196" s="230" t="s">
        <v>77</v>
      </c>
    </row>
    <row r="197" spans="2:32" ht="13" x14ac:dyDescent="0.3">
      <c r="B197" s="346" t="str">
        <f>IF(C197="","Skip",IF(AND(Validator!J691=TRUE,Validator!J191=TRUE,Validator!J441,Validator!J441=TRUE,Validator!J941=TRUE,Validator!J1191=TRUE,Validator!J1441=TRUE),"Valid","Invalid"))</f>
        <v>Skip</v>
      </c>
      <c r="C197" s="69"/>
      <c r="D197" s="407"/>
      <c r="E197" s="408"/>
      <c r="F197" s="519"/>
      <c r="G197" s="205"/>
      <c r="H197" s="519"/>
      <c r="I197" s="194"/>
      <c r="J197" s="414"/>
      <c r="K197" s="395"/>
      <c r="L197" s="412"/>
      <c r="M197" s="310"/>
      <c r="N197" s="413"/>
      <c r="O197" s="398" t="s">
        <v>278</v>
      </c>
      <c r="P197" s="399" t="s">
        <v>77</v>
      </c>
      <c r="Q197" s="348"/>
      <c r="R197" s="308"/>
      <c r="S197" s="349"/>
      <c r="T197" s="349"/>
      <c r="U197" s="90" t="str">
        <f>IF(ISERROR(VLOOKUP($T197, 'Reference data'!$J$2:$K$139, 2, FALSE)),"-",VLOOKUP($T197, 'Reference data'!$J$2:$K$139, 2, FALSE))</f>
        <v>-</v>
      </c>
      <c r="V197" s="308"/>
      <c r="W197" s="308"/>
      <c r="X197" s="312"/>
      <c r="Y197" s="313"/>
      <c r="Z197" s="228"/>
      <c r="AA197" s="352"/>
      <c r="AB197" s="82"/>
      <c r="AC197" s="71"/>
      <c r="AD197" s="70"/>
      <c r="AE197" s="226" t="s">
        <v>278</v>
      </c>
      <c r="AF197" s="230" t="s">
        <v>77</v>
      </c>
    </row>
    <row r="198" spans="2:32" ht="13" x14ac:dyDescent="0.3">
      <c r="B198" s="346" t="str">
        <f>IF(C198="","Skip",IF(AND(Validator!J692=TRUE,Validator!J192=TRUE,Validator!J442,Validator!J442=TRUE,Validator!J942=TRUE,Validator!J1192=TRUE,Validator!J1442=TRUE),"Valid","Invalid"))</f>
        <v>Skip</v>
      </c>
      <c r="C198" s="69"/>
      <c r="D198" s="407"/>
      <c r="E198" s="408"/>
      <c r="F198" s="519"/>
      <c r="G198" s="205"/>
      <c r="H198" s="519"/>
      <c r="I198" s="194"/>
      <c r="J198" s="414"/>
      <c r="K198" s="395"/>
      <c r="L198" s="412"/>
      <c r="M198" s="310"/>
      <c r="N198" s="413"/>
      <c r="O198" s="398" t="s">
        <v>278</v>
      </c>
      <c r="P198" s="399" t="s">
        <v>77</v>
      </c>
      <c r="Q198" s="348"/>
      <c r="R198" s="308"/>
      <c r="S198" s="349"/>
      <c r="T198" s="349"/>
      <c r="U198" s="90" t="str">
        <f>IF(ISERROR(VLOOKUP($T198, 'Reference data'!$J$2:$K$139, 2, FALSE)),"-",VLOOKUP($T198, 'Reference data'!$J$2:$K$139, 2, FALSE))</f>
        <v>-</v>
      </c>
      <c r="V198" s="308"/>
      <c r="W198" s="308"/>
      <c r="X198" s="312"/>
      <c r="Y198" s="313"/>
      <c r="Z198" s="228"/>
      <c r="AA198" s="352"/>
      <c r="AB198" s="82"/>
      <c r="AC198" s="71"/>
      <c r="AD198" s="70"/>
      <c r="AE198" s="226" t="s">
        <v>278</v>
      </c>
      <c r="AF198" s="230" t="s">
        <v>77</v>
      </c>
    </row>
    <row r="199" spans="2:32" ht="13" x14ac:dyDescent="0.3">
      <c r="B199" s="346" t="str">
        <f>IF(C199="","Skip",IF(AND(Validator!J693=TRUE,Validator!J193=TRUE,Validator!J443,Validator!J443=TRUE,Validator!J943=TRUE,Validator!J1193=TRUE,Validator!J1443=TRUE),"Valid","Invalid"))</f>
        <v>Skip</v>
      </c>
      <c r="C199" s="69"/>
      <c r="D199" s="407"/>
      <c r="E199" s="408"/>
      <c r="F199" s="519"/>
      <c r="G199" s="205"/>
      <c r="H199" s="519"/>
      <c r="I199" s="194"/>
      <c r="J199" s="414"/>
      <c r="K199" s="395"/>
      <c r="L199" s="412"/>
      <c r="M199" s="310"/>
      <c r="N199" s="413"/>
      <c r="O199" s="398" t="s">
        <v>278</v>
      </c>
      <c r="P199" s="399" t="s">
        <v>77</v>
      </c>
      <c r="Q199" s="348"/>
      <c r="R199" s="308"/>
      <c r="S199" s="349"/>
      <c r="T199" s="349"/>
      <c r="U199" s="90" t="str">
        <f>IF(ISERROR(VLOOKUP($T199, 'Reference data'!$J$2:$K$139, 2, FALSE)),"-",VLOOKUP($T199, 'Reference data'!$J$2:$K$139, 2, FALSE))</f>
        <v>-</v>
      </c>
      <c r="V199" s="308"/>
      <c r="W199" s="308"/>
      <c r="X199" s="312"/>
      <c r="Y199" s="313"/>
      <c r="Z199" s="228"/>
      <c r="AA199" s="352"/>
      <c r="AB199" s="82"/>
      <c r="AC199" s="71"/>
      <c r="AD199" s="70"/>
      <c r="AE199" s="226" t="s">
        <v>278</v>
      </c>
      <c r="AF199" s="230" t="s">
        <v>77</v>
      </c>
    </row>
    <row r="200" spans="2:32" ht="13" x14ac:dyDescent="0.3">
      <c r="B200" s="346" t="str">
        <f>IF(C200="","Skip",IF(AND(Validator!J694=TRUE,Validator!J194=TRUE,Validator!J444,Validator!J444=TRUE,Validator!J944=TRUE,Validator!J1194=TRUE,Validator!J1444=TRUE),"Valid","Invalid"))</f>
        <v>Skip</v>
      </c>
      <c r="C200" s="69"/>
      <c r="D200" s="407"/>
      <c r="E200" s="408"/>
      <c r="F200" s="519"/>
      <c r="G200" s="205"/>
      <c r="H200" s="519"/>
      <c r="I200" s="194"/>
      <c r="J200" s="414"/>
      <c r="K200" s="395"/>
      <c r="L200" s="412"/>
      <c r="M200" s="310"/>
      <c r="N200" s="413"/>
      <c r="O200" s="398" t="s">
        <v>278</v>
      </c>
      <c r="P200" s="399" t="s">
        <v>77</v>
      </c>
      <c r="Q200" s="348"/>
      <c r="R200" s="308"/>
      <c r="S200" s="349"/>
      <c r="T200" s="349"/>
      <c r="U200" s="90" t="str">
        <f>IF(ISERROR(VLOOKUP($T200, 'Reference data'!$J$2:$K$139, 2, FALSE)),"-",VLOOKUP($T200, 'Reference data'!$J$2:$K$139, 2, FALSE))</f>
        <v>-</v>
      </c>
      <c r="V200" s="308"/>
      <c r="W200" s="308"/>
      <c r="X200" s="312"/>
      <c r="Y200" s="313"/>
      <c r="Z200" s="228"/>
      <c r="AA200" s="352"/>
      <c r="AB200" s="82"/>
      <c r="AC200" s="71"/>
      <c r="AD200" s="70"/>
      <c r="AE200" s="226" t="s">
        <v>278</v>
      </c>
      <c r="AF200" s="230" t="s">
        <v>77</v>
      </c>
    </row>
    <row r="201" spans="2:32" ht="13" x14ac:dyDescent="0.3">
      <c r="B201" s="346" t="str">
        <f>IF(C201="","Skip",IF(AND(Validator!J695=TRUE,Validator!J195=TRUE,Validator!J445,Validator!J445=TRUE,Validator!J945=TRUE,Validator!J1195=TRUE,Validator!J1445=TRUE),"Valid","Invalid"))</f>
        <v>Skip</v>
      </c>
      <c r="C201" s="69"/>
      <c r="D201" s="407"/>
      <c r="E201" s="408"/>
      <c r="F201" s="519"/>
      <c r="G201" s="205"/>
      <c r="H201" s="519"/>
      <c r="I201" s="194"/>
      <c r="J201" s="414"/>
      <c r="K201" s="395"/>
      <c r="L201" s="412"/>
      <c r="M201" s="310"/>
      <c r="N201" s="413"/>
      <c r="O201" s="398" t="s">
        <v>278</v>
      </c>
      <c r="P201" s="399" t="s">
        <v>77</v>
      </c>
      <c r="Q201" s="348"/>
      <c r="R201" s="308"/>
      <c r="S201" s="349"/>
      <c r="T201" s="349"/>
      <c r="U201" s="90" t="str">
        <f>IF(ISERROR(VLOOKUP($T201, 'Reference data'!$J$2:$K$139, 2, FALSE)),"-",VLOOKUP($T201, 'Reference data'!$J$2:$K$139, 2, FALSE))</f>
        <v>-</v>
      </c>
      <c r="V201" s="308"/>
      <c r="W201" s="308"/>
      <c r="X201" s="312"/>
      <c r="Y201" s="313"/>
      <c r="Z201" s="228"/>
      <c r="AA201" s="352"/>
      <c r="AB201" s="82"/>
      <c r="AC201" s="71"/>
      <c r="AD201" s="70"/>
      <c r="AE201" s="226" t="s">
        <v>278</v>
      </c>
      <c r="AF201" s="230" t="s">
        <v>77</v>
      </c>
    </row>
    <row r="202" spans="2:32" ht="13" x14ac:dyDescent="0.3">
      <c r="B202" s="346" t="str">
        <f>IF(C202="","Skip",IF(AND(Validator!J696=TRUE,Validator!J196=TRUE,Validator!J446,Validator!J446=TRUE,Validator!J946=TRUE,Validator!J1196=TRUE,Validator!J1446=TRUE),"Valid","Invalid"))</f>
        <v>Skip</v>
      </c>
      <c r="C202" s="69"/>
      <c r="D202" s="407"/>
      <c r="E202" s="408"/>
      <c r="F202" s="519"/>
      <c r="G202" s="205"/>
      <c r="H202" s="519"/>
      <c r="I202" s="194"/>
      <c r="J202" s="414"/>
      <c r="K202" s="395"/>
      <c r="L202" s="412"/>
      <c r="M202" s="310"/>
      <c r="N202" s="413"/>
      <c r="O202" s="398" t="s">
        <v>278</v>
      </c>
      <c r="P202" s="399" t="s">
        <v>77</v>
      </c>
      <c r="Q202" s="348"/>
      <c r="R202" s="308"/>
      <c r="S202" s="349"/>
      <c r="T202" s="349"/>
      <c r="U202" s="90" t="str">
        <f>IF(ISERROR(VLOOKUP($T202, 'Reference data'!$J$2:$K$139, 2, FALSE)),"-",VLOOKUP($T202, 'Reference data'!$J$2:$K$139, 2, FALSE))</f>
        <v>-</v>
      </c>
      <c r="V202" s="308"/>
      <c r="W202" s="308"/>
      <c r="X202" s="312"/>
      <c r="Y202" s="313"/>
      <c r="Z202" s="228"/>
      <c r="AA202" s="352"/>
      <c r="AB202" s="82"/>
      <c r="AC202" s="71"/>
      <c r="AD202" s="70"/>
      <c r="AE202" s="226" t="s">
        <v>278</v>
      </c>
      <c r="AF202" s="230" t="s">
        <v>77</v>
      </c>
    </row>
    <row r="203" spans="2:32" ht="13" x14ac:dyDescent="0.3">
      <c r="B203" s="346" t="str">
        <f>IF(C203="","Skip",IF(AND(Validator!J697=TRUE,Validator!J197=TRUE,Validator!J447,Validator!J447=TRUE,Validator!J947=TRUE,Validator!J1197=TRUE,Validator!J1447=TRUE),"Valid","Invalid"))</f>
        <v>Skip</v>
      </c>
      <c r="C203" s="69"/>
      <c r="D203" s="407"/>
      <c r="E203" s="408"/>
      <c r="F203" s="519"/>
      <c r="G203" s="205"/>
      <c r="H203" s="519"/>
      <c r="I203" s="194"/>
      <c r="J203" s="414"/>
      <c r="K203" s="395"/>
      <c r="L203" s="412"/>
      <c r="M203" s="310"/>
      <c r="N203" s="413"/>
      <c r="O203" s="398" t="s">
        <v>278</v>
      </c>
      <c r="P203" s="399" t="s">
        <v>77</v>
      </c>
      <c r="Q203" s="348"/>
      <c r="R203" s="308"/>
      <c r="S203" s="349"/>
      <c r="T203" s="349"/>
      <c r="U203" s="90" t="str">
        <f>IF(ISERROR(VLOOKUP($T203, 'Reference data'!$J$2:$K$139, 2, FALSE)),"-",VLOOKUP($T203, 'Reference data'!$J$2:$K$139, 2, FALSE))</f>
        <v>-</v>
      </c>
      <c r="V203" s="308"/>
      <c r="W203" s="308"/>
      <c r="X203" s="312"/>
      <c r="Y203" s="313"/>
      <c r="Z203" s="228"/>
      <c r="AA203" s="352"/>
      <c r="AB203" s="82"/>
      <c r="AC203" s="71"/>
      <c r="AD203" s="70"/>
      <c r="AE203" s="226" t="s">
        <v>278</v>
      </c>
      <c r="AF203" s="230" t="s">
        <v>77</v>
      </c>
    </row>
    <row r="204" spans="2:32" ht="13" x14ac:dyDescent="0.3">
      <c r="B204" s="346" t="str">
        <f>IF(C204="","Skip",IF(AND(Validator!J698=TRUE,Validator!J198=TRUE,Validator!J448,Validator!J448=TRUE,Validator!J948=TRUE,Validator!J1198=TRUE,Validator!J1448=TRUE),"Valid","Invalid"))</f>
        <v>Skip</v>
      </c>
      <c r="C204" s="69"/>
      <c r="D204" s="407"/>
      <c r="E204" s="408"/>
      <c r="F204" s="519"/>
      <c r="G204" s="205"/>
      <c r="H204" s="519"/>
      <c r="I204" s="194"/>
      <c r="J204" s="414"/>
      <c r="K204" s="395"/>
      <c r="L204" s="412"/>
      <c r="M204" s="310"/>
      <c r="N204" s="413"/>
      <c r="O204" s="398" t="s">
        <v>278</v>
      </c>
      <c r="P204" s="399" t="s">
        <v>77</v>
      </c>
      <c r="Q204" s="348"/>
      <c r="R204" s="308"/>
      <c r="S204" s="349"/>
      <c r="T204" s="349"/>
      <c r="U204" s="90" t="str">
        <f>IF(ISERROR(VLOOKUP($T204, 'Reference data'!$J$2:$K$139, 2, FALSE)),"-",VLOOKUP($T204, 'Reference data'!$J$2:$K$139, 2, FALSE))</f>
        <v>-</v>
      </c>
      <c r="V204" s="308"/>
      <c r="W204" s="308"/>
      <c r="X204" s="312"/>
      <c r="Y204" s="313"/>
      <c r="Z204" s="228"/>
      <c r="AA204" s="352"/>
      <c r="AB204" s="82"/>
      <c r="AC204" s="71"/>
      <c r="AD204" s="70"/>
      <c r="AE204" s="226" t="s">
        <v>278</v>
      </c>
      <c r="AF204" s="230" t="s">
        <v>77</v>
      </c>
    </row>
    <row r="205" spans="2:32" ht="13" x14ac:dyDescent="0.3">
      <c r="B205" s="346" t="str">
        <f>IF(C205="","Skip",IF(AND(Validator!J699=TRUE,Validator!J199=TRUE,Validator!J449,Validator!J449=TRUE,Validator!J949=TRUE,Validator!J1199=TRUE,Validator!J1449=TRUE),"Valid","Invalid"))</f>
        <v>Skip</v>
      </c>
      <c r="C205" s="69"/>
      <c r="D205" s="407"/>
      <c r="E205" s="408"/>
      <c r="F205" s="519"/>
      <c r="G205" s="205"/>
      <c r="H205" s="519"/>
      <c r="I205" s="194"/>
      <c r="J205" s="414"/>
      <c r="K205" s="395"/>
      <c r="L205" s="412"/>
      <c r="M205" s="310"/>
      <c r="N205" s="413"/>
      <c r="O205" s="398" t="s">
        <v>278</v>
      </c>
      <c r="P205" s="399" t="s">
        <v>77</v>
      </c>
      <c r="Q205" s="348"/>
      <c r="R205" s="308"/>
      <c r="S205" s="349"/>
      <c r="T205" s="349"/>
      <c r="U205" s="90" t="str">
        <f>IF(ISERROR(VLOOKUP($T205, 'Reference data'!$J$2:$K$139, 2, FALSE)),"-",VLOOKUP($T205, 'Reference data'!$J$2:$K$139, 2, FALSE))</f>
        <v>-</v>
      </c>
      <c r="V205" s="308"/>
      <c r="W205" s="308"/>
      <c r="X205" s="312"/>
      <c r="Y205" s="313"/>
      <c r="Z205" s="228"/>
      <c r="AA205" s="352"/>
      <c r="AB205" s="82"/>
      <c r="AC205" s="71"/>
      <c r="AD205" s="70"/>
      <c r="AE205" s="226" t="s">
        <v>278</v>
      </c>
      <c r="AF205" s="230" t="s">
        <v>77</v>
      </c>
    </row>
    <row r="206" spans="2:32" ht="13" x14ac:dyDescent="0.3">
      <c r="B206" s="346" t="str">
        <f>IF(C206="","Skip",IF(AND(Validator!J700=TRUE,Validator!J200=TRUE,Validator!J450,Validator!J450=TRUE,Validator!J950=TRUE,Validator!J1200=TRUE,Validator!J1450=TRUE),"Valid","Invalid"))</f>
        <v>Skip</v>
      </c>
      <c r="C206" s="69"/>
      <c r="D206" s="407"/>
      <c r="E206" s="408"/>
      <c r="F206" s="519"/>
      <c r="G206" s="205"/>
      <c r="H206" s="519"/>
      <c r="I206" s="194"/>
      <c r="J206" s="414"/>
      <c r="K206" s="395"/>
      <c r="L206" s="412"/>
      <c r="M206" s="310"/>
      <c r="N206" s="413"/>
      <c r="O206" s="398" t="s">
        <v>278</v>
      </c>
      <c r="P206" s="399" t="s">
        <v>77</v>
      </c>
      <c r="Q206" s="348"/>
      <c r="R206" s="308"/>
      <c r="S206" s="349"/>
      <c r="T206" s="349"/>
      <c r="U206" s="90" t="str">
        <f>IF(ISERROR(VLOOKUP($T206, 'Reference data'!$J$2:$K$139, 2, FALSE)),"-",VLOOKUP($T206, 'Reference data'!$J$2:$K$139, 2, FALSE))</f>
        <v>-</v>
      </c>
      <c r="V206" s="308"/>
      <c r="W206" s="308"/>
      <c r="X206" s="312"/>
      <c r="Y206" s="313"/>
      <c r="Z206" s="228"/>
      <c r="AA206" s="352"/>
      <c r="AB206" s="82"/>
      <c r="AC206" s="71"/>
      <c r="AD206" s="70"/>
      <c r="AE206" s="226" t="s">
        <v>278</v>
      </c>
      <c r="AF206" s="230" t="s">
        <v>77</v>
      </c>
    </row>
    <row r="207" spans="2:32" ht="13" x14ac:dyDescent="0.3">
      <c r="B207" s="346" t="str">
        <f>IF(C207="","Skip",IF(AND(Validator!J701=TRUE,Validator!J201=TRUE,Validator!J451,Validator!J451=TRUE,Validator!J951=TRUE,Validator!J1201=TRUE,Validator!J1451=TRUE),"Valid","Invalid"))</f>
        <v>Skip</v>
      </c>
      <c r="C207" s="69"/>
      <c r="D207" s="407"/>
      <c r="E207" s="408"/>
      <c r="F207" s="519"/>
      <c r="G207" s="205"/>
      <c r="H207" s="519"/>
      <c r="I207" s="194"/>
      <c r="J207" s="414"/>
      <c r="K207" s="395"/>
      <c r="L207" s="412"/>
      <c r="M207" s="310"/>
      <c r="N207" s="413"/>
      <c r="O207" s="398" t="s">
        <v>278</v>
      </c>
      <c r="P207" s="399" t="s">
        <v>77</v>
      </c>
      <c r="Q207" s="348"/>
      <c r="R207" s="308"/>
      <c r="S207" s="349"/>
      <c r="T207" s="349"/>
      <c r="U207" s="90" t="str">
        <f>IF(ISERROR(VLOOKUP($T207, 'Reference data'!$J$2:$K$139, 2, FALSE)),"-",VLOOKUP($T207, 'Reference data'!$J$2:$K$139, 2, FALSE))</f>
        <v>-</v>
      </c>
      <c r="V207" s="308"/>
      <c r="W207" s="308"/>
      <c r="X207" s="312"/>
      <c r="Y207" s="313"/>
      <c r="Z207" s="228"/>
      <c r="AA207" s="352"/>
      <c r="AB207" s="82"/>
      <c r="AC207" s="71"/>
      <c r="AD207" s="70"/>
      <c r="AE207" s="226" t="s">
        <v>278</v>
      </c>
      <c r="AF207" s="230" t="s">
        <v>77</v>
      </c>
    </row>
    <row r="208" spans="2:32" ht="13" x14ac:dyDescent="0.3">
      <c r="B208" s="346" t="str">
        <f>IF(C208="","Skip",IF(AND(Validator!J702=TRUE,Validator!J202=TRUE,Validator!J452,Validator!J452=TRUE,Validator!J952=TRUE,Validator!J1202=TRUE,Validator!J1452=TRUE),"Valid","Invalid"))</f>
        <v>Skip</v>
      </c>
      <c r="C208" s="69"/>
      <c r="D208" s="407"/>
      <c r="E208" s="408"/>
      <c r="F208" s="519"/>
      <c r="G208" s="205"/>
      <c r="H208" s="519"/>
      <c r="I208" s="194"/>
      <c r="J208" s="414"/>
      <c r="K208" s="395"/>
      <c r="L208" s="412"/>
      <c r="M208" s="310"/>
      <c r="N208" s="413"/>
      <c r="O208" s="398" t="s">
        <v>278</v>
      </c>
      <c r="P208" s="399" t="s">
        <v>77</v>
      </c>
      <c r="Q208" s="348"/>
      <c r="R208" s="308"/>
      <c r="S208" s="349"/>
      <c r="T208" s="349"/>
      <c r="U208" s="90" t="str">
        <f>IF(ISERROR(VLOOKUP($T208, 'Reference data'!$J$2:$K$139, 2, FALSE)),"-",VLOOKUP($T208, 'Reference data'!$J$2:$K$139, 2, FALSE))</f>
        <v>-</v>
      </c>
      <c r="V208" s="308"/>
      <c r="W208" s="308"/>
      <c r="X208" s="312"/>
      <c r="Y208" s="313"/>
      <c r="Z208" s="228"/>
      <c r="AA208" s="352"/>
      <c r="AB208" s="82"/>
      <c r="AC208" s="71"/>
      <c r="AD208" s="70"/>
      <c r="AE208" s="226" t="s">
        <v>278</v>
      </c>
      <c r="AF208" s="230" t="s">
        <v>77</v>
      </c>
    </row>
    <row r="209" spans="2:32" ht="13" x14ac:dyDescent="0.3">
      <c r="B209" s="346" t="str">
        <f>IF(C209="","Skip",IF(AND(Validator!J703=TRUE,Validator!J203=TRUE,Validator!J453,Validator!J453=TRUE,Validator!J953=TRUE,Validator!J1203=TRUE,Validator!J1453=TRUE),"Valid","Invalid"))</f>
        <v>Skip</v>
      </c>
      <c r="C209" s="69"/>
      <c r="D209" s="407"/>
      <c r="E209" s="408"/>
      <c r="F209" s="519"/>
      <c r="G209" s="205"/>
      <c r="H209" s="519"/>
      <c r="I209" s="194"/>
      <c r="J209" s="414"/>
      <c r="K209" s="395"/>
      <c r="L209" s="412"/>
      <c r="M209" s="310"/>
      <c r="N209" s="413"/>
      <c r="O209" s="398" t="s">
        <v>278</v>
      </c>
      <c r="P209" s="399" t="s">
        <v>77</v>
      </c>
      <c r="Q209" s="348"/>
      <c r="R209" s="308"/>
      <c r="S209" s="349"/>
      <c r="T209" s="349"/>
      <c r="U209" s="90" t="str">
        <f>IF(ISERROR(VLOOKUP($T209, 'Reference data'!$J$2:$K$139, 2, FALSE)),"-",VLOOKUP($T209, 'Reference data'!$J$2:$K$139, 2, FALSE))</f>
        <v>-</v>
      </c>
      <c r="V209" s="308"/>
      <c r="W209" s="308"/>
      <c r="X209" s="312"/>
      <c r="Y209" s="313"/>
      <c r="Z209" s="228"/>
      <c r="AA209" s="352"/>
      <c r="AB209" s="82"/>
      <c r="AC209" s="71"/>
      <c r="AD209" s="70"/>
      <c r="AE209" s="226" t="s">
        <v>278</v>
      </c>
      <c r="AF209" s="230" t="s">
        <v>77</v>
      </c>
    </row>
    <row r="210" spans="2:32" ht="13" x14ac:dyDescent="0.3">
      <c r="B210" s="346" t="str">
        <f>IF(C210="","Skip",IF(AND(Validator!J704=TRUE,Validator!J204=TRUE,Validator!J454,Validator!J454=TRUE,Validator!J954=TRUE,Validator!J1204=TRUE,Validator!J1454=TRUE),"Valid","Invalid"))</f>
        <v>Skip</v>
      </c>
      <c r="C210" s="69"/>
      <c r="D210" s="407"/>
      <c r="E210" s="408"/>
      <c r="F210" s="519"/>
      <c r="G210" s="205"/>
      <c r="H210" s="519"/>
      <c r="I210" s="194"/>
      <c r="J210" s="414"/>
      <c r="K210" s="395"/>
      <c r="L210" s="412"/>
      <c r="M210" s="310"/>
      <c r="N210" s="413"/>
      <c r="O210" s="398" t="s">
        <v>278</v>
      </c>
      <c r="P210" s="399" t="s">
        <v>77</v>
      </c>
      <c r="Q210" s="348"/>
      <c r="R210" s="308"/>
      <c r="S210" s="349"/>
      <c r="T210" s="349"/>
      <c r="U210" s="90" t="str">
        <f>IF(ISERROR(VLOOKUP($T210, 'Reference data'!$J$2:$K$139, 2, FALSE)),"-",VLOOKUP($T210, 'Reference data'!$J$2:$K$139, 2, FALSE))</f>
        <v>-</v>
      </c>
      <c r="V210" s="308"/>
      <c r="W210" s="308"/>
      <c r="X210" s="312"/>
      <c r="Y210" s="313"/>
      <c r="Z210" s="228"/>
      <c r="AA210" s="352"/>
      <c r="AB210" s="82"/>
      <c r="AC210" s="71"/>
      <c r="AD210" s="70"/>
      <c r="AE210" s="226" t="s">
        <v>278</v>
      </c>
      <c r="AF210" s="230" t="s">
        <v>77</v>
      </c>
    </row>
    <row r="211" spans="2:32" ht="13" x14ac:dyDescent="0.3">
      <c r="B211" s="346" t="str">
        <f>IF(C211="","Skip",IF(AND(Validator!J705=TRUE,Validator!J205=TRUE,Validator!J455,Validator!J455=TRUE,Validator!J955=TRUE,Validator!J1205=TRUE,Validator!J1455=TRUE),"Valid","Invalid"))</f>
        <v>Skip</v>
      </c>
      <c r="C211" s="69"/>
      <c r="D211" s="407"/>
      <c r="E211" s="408"/>
      <c r="F211" s="519"/>
      <c r="G211" s="205"/>
      <c r="H211" s="519"/>
      <c r="I211" s="194"/>
      <c r="J211" s="414"/>
      <c r="K211" s="395"/>
      <c r="L211" s="412"/>
      <c r="M211" s="310"/>
      <c r="N211" s="413"/>
      <c r="O211" s="398" t="s">
        <v>278</v>
      </c>
      <c r="P211" s="399" t="s">
        <v>77</v>
      </c>
      <c r="Q211" s="348"/>
      <c r="R211" s="308"/>
      <c r="S211" s="349"/>
      <c r="T211" s="349"/>
      <c r="U211" s="90" t="str">
        <f>IF(ISERROR(VLOOKUP($T211, 'Reference data'!$J$2:$K$139, 2, FALSE)),"-",VLOOKUP($T211, 'Reference data'!$J$2:$K$139, 2, FALSE))</f>
        <v>-</v>
      </c>
      <c r="V211" s="308"/>
      <c r="W211" s="308"/>
      <c r="X211" s="312"/>
      <c r="Y211" s="313"/>
      <c r="Z211" s="228"/>
      <c r="AA211" s="352"/>
      <c r="AB211" s="82"/>
      <c r="AC211" s="71"/>
      <c r="AD211" s="70"/>
      <c r="AE211" s="226" t="s">
        <v>278</v>
      </c>
      <c r="AF211" s="230" t="s">
        <v>77</v>
      </c>
    </row>
    <row r="212" spans="2:32" ht="13" x14ac:dyDescent="0.3">
      <c r="B212" s="346" t="str">
        <f>IF(C212="","Skip",IF(AND(Validator!J706=TRUE,Validator!J206=TRUE,Validator!J456,Validator!J456=TRUE,Validator!J956=TRUE,Validator!J1206=TRUE,Validator!J1456=TRUE),"Valid","Invalid"))</f>
        <v>Skip</v>
      </c>
      <c r="C212" s="69"/>
      <c r="D212" s="407"/>
      <c r="E212" s="408"/>
      <c r="F212" s="519"/>
      <c r="G212" s="205"/>
      <c r="H212" s="519"/>
      <c r="I212" s="194"/>
      <c r="J212" s="414"/>
      <c r="K212" s="395"/>
      <c r="L212" s="412"/>
      <c r="M212" s="310"/>
      <c r="N212" s="413"/>
      <c r="O212" s="398" t="s">
        <v>278</v>
      </c>
      <c r="P212" s="399" t="s">
        <v>77</v>
      </c>
      <c r="Q212" s="348"/>
      <c r="R212" s="308"/>
      <c r="S212" s="349"/>
      <c r="T212" s="349"/>
      <c r="U212" s="90" t="str">
        <f>IF(ISERROR(VLOOKUP($T212, 'Reference data'!$J$2:$K$139, 2, FALSE)),"-",VLOOKUP($T212, 'Reference data'!$J$2:$K$139, 2, FALSE))</f>
        <v>-</v>
      </c>
      <c r="V212" s="308"/>
      <c r="W212" s="308"/>
      <c r="X212" s="312"/>
      <c r="Y212" s="313"/>
      <c r="Z212" s="228"/>
      <c r="AA212" s="352"/>
      <c r="AB212" s="82"/>
      <c r="AC212" s="71"/>
      <c r="AD212" s="70"/>
      <c r="AE212" s="226" t="s">
        <v>278</v>
      </c>
      <c r="AF212" s="230" t="s">
        <v>77</v>
      </c>
    </row>
    <row r="213" spans="2:32" ht="13" x14ac:dyDescent="0.3">
      <c r="B213" s="346" t="str">
        <f>IF(C213="","Skip",IF(AND(Validator!J707=TRUE,Validator!J207=TRUE,Validator!J457,Validator!J457=TRUE,Validator!J957=TRUE,Validator!J1207=TRUE,Validator!J1457=TRUE),"Valid","Invalid"))</f>
        <v>Skip</v>
      </c>
      <c r="C213" s="69"/>
      <c r="D213" s="407"/>
      <c r="E213" s="408"/>
      <c r="F213" s="519"/>
      <c r="G213" s="205"/>
      <c r="H213" s="519"/>
      <c r="I213" s="194"/>
      <c r="J213" s="414"/>
      <c r="K213" s="395"/>
      <c r="L213" s="412"/>
      <c r="M213" s="310"/>
      <c r="N213" s="413"/>
      <c r="O213" s="398" t="s">
        <v>278</v>
      </c>
      <c r="P213" s="399" t="s">
        <v>77</v>
      </c>
      <c r="Q213" s="348"/>
      <c r="R213" s="308"/>
      <c r="S213" s="349"/>
      <c r="T213" s="349"/>
      <c r="U213" s="90" t="str">
        <f>IF(ISERROR(VLOOKUP($T213, 'Reference data'!$J$2:$K$139, 2, FALSE)),"-",VLOOKUP($T213, 'Reference data'!$J$2:$K$139, 2, FALSE))</f>
        <v>-</v>
      </c>
      <c r="V213" s="308"/>
      <c r="W213" s="308"/>
      <c r="X213" s="312"/>
      <c r="Y213" s="313"/>
      <c r="Z213" s="228"/>
      <c r="AA213" s="352"/>
      <c r="AB213" s="82"/>
      <c r="AC213" s="71"/>
      <c r="AD213" s="70"/>
      <c r="AE213" s="226" t="s">
        <v>278</v>
      </c>
      <c r="AF213" s="230" t="s">
        <v>77</v>
      </c>
    </row>
    <row r="214" spans="2:32" ht="13" x14ac:dyDescent="0.3">
      <c r="B214" s="346" t="str">
        <f>IF(C214="","Skip",IF(AND(Validator!J708=TRUE,Validator!J208=TRUE,Validator!J458,Validator!J458=TRUE,Validator!J958=TRUE,Validator!J1208=TRUE,Validator!J1458=TRUE),"Valid","Invalid"))</f>
        <v>Skip</v>
      </c>
      <c r="C214" s="69"/>
      <c r="D214" s="407"/>
      <c r="E214" s="408"/>
      <c r="F214" s="519"/>
      <c r="G214" s="205"/>
      <c r="H214" s="519"/>
      <c r="I214" s="194"/>
      <c r="J214" s="414"/>
      <c r="K214" s="395"/>
      <c r="L214" s="412"/>
      <c r="M214" s="310"/>
      <c r="N214" s="413"/>
      <c r="O214" s="398" t="s">
        <v>278</v>
      </c>
      <c r="P214" s="399" t="s">
        <v>77</v>
      </c>
      <c r="Q214" s="348"/>
      <c r="R214" s="308"/>
      <c r="S214" s="349"/>
      <c r="T214" s="349"/>
      <c r="U214" s="90" t="str">
        <f>IF(ISERROR(VLOOKUP($T214, 'Reference data'!$J$2:$K$139, 2, FALSE)),"-",VLOOKUP($T214, 'Reference data'!$J$2:$K$139, 2, FALSE))</f>
        <v>-</v>
      </c>
      <c r="V214" s="308"/>
      <c r="W214" s="308"/>
      <c r="X214" s="312"/>
      <c r="Y214" s="313"/>
      <c r="Z214" s="228"/>
      <c r="AA214" s="352"/>
      <c r="AB214" s="82"/>
      <c r="AC214" s="71"/>
      <c r="AD214" s="70"/>
      <c r="AE214" s="226" t="s">
        <v>278</v>
      </c>
      <c r="AF214" s="230" t="s">
        <v>77</v>
      </c>
    </row>
    <row r="215" spans="2:32" ht="13" x14ac:dyDescent="0.3">
      <c r="B215" s="346" t="str">
        <f>IF(C215="","Skip",IF(AND(Validator!J709=TRUE,Validator!J209=TRUE,Validator!J459,Validator!J459=TRUE,Validator!J959=TRUE,Validator!J1209=TRUE,Validator!J1459=TRUE),"Valid","Invalid"))</f>
        <v>Skip</v>
      </c>
      <c r="C215" s="69"/>
      <c r="D215" s="407"/>
      <c r="E215" s="408"/>
      <c r="F215" s="519"/>
      <c r="G215" s="205"/>
      <c r="H215" s="519"/>
      <c r="I215" s="194"/>
      <c r="J215" s="414"/>
      <c r="K215" s="395"/>
      <c r="L215" s="412"/>
      <c r="M215" s="310"/>
      <c r="N215" s="413"/>
      <c r="O215" s="398" t="s">
        <v>278</v>
      </c>
      <c r="P215" s="399" t="s">
        <v>77</v>
      </c>
      <c r="Q215" s="348"/>
      <c r="R215" s="308"/>
      <c r="S215" s="349"/>
      <c r="T215" s="349"/>
      <c r="U215" s="90" t="str">
        <f>IF(ISERROR(VLOOKUP($T215, 'Reference data'!$J$2:$K$139, 2, FALSE)),"-",VLOOKUP($T215, 'Reference data'!$J$2:$K$139, 2, FALSE))</f>
        <v>-</v>
      </c>
      <c r="V215" s="308"/>
      <c r="W215" s="308"/>
      <c r="X215" s="312"/>
      <c r="Y215" s="313"/>
      <c r="Z215" s="228"/>
      <c r="AA215" s="352"/>
      <c r="AB215" s="82"/>
      <c r="AC215" s="71"/>
      <c r="AD215" s="70"/>
      <c r="AE215" s="226" t="s">
        <v>278</v>
      </c>
      <c r="AF215" s="230" t="s">
        <v>77</v>
      </c>
    </row>
    <row r="216" spans="2:32" ht="13" x14ac:dyDescent="0.3">
      <c r="B216" s="346" t="str">
        <f>IF(C216="","Skip",IF(AND(Validator!J710=TRUE,Validator!J210=TRUE,Validator!J460,Validator!J460=TRUE,Validator!J960=TRUE,Validator!J1210=TRUE,Validator!J1460=TRUE),"Valid","Invalid"))</f>
        <v>Skip</v>
      </c>
      <c r="C216" s="69"/>
      <c r="D216" s="407"/>
      <c r="E216" s="408"/>
      <c r="F216" s="519"/>
      <c r="G216" s="205"/>
      <c r="H216" s="519"/>
      <c r="I216" s="194"/>
      <c r="J216" s="414"/>
      <c r="K216" s="395"/>
      <c r="L216" s="412"/>
      <c r="M216" s="310"/>
      <c r="N216" s="413"/>
      <c r="O216" s="398" t="s">
        <v>278</v>
      </c>
      <c r="P216" s="399" t="s">
        <v>77</v>
      </c>
      <c r="Q216" s="348"/>
      <c r="R216" s="308"/>
      <c r="S216" s="349"/>
      <c r="T216" s="349"/>
      <c r="U216" s="90" t="str">
        <f>IF(ISERROR(VLOOKUP($T216, 'Reference data'!$J$2:$K$139, 2, FALSE)),"-",VLOOKUP($T216, 'Reference data'!$J$2:$K$139, 2, FALSE))</f>
        <v>-</v>
      </c>
      <c r="V216" s="308"/>
      <c r="W216" s="308"/>
      <c r="X216" s="312"/>
      <c r="Y216" s="313"/>
      <c r="Z216" s="228"/>
      <c r="AA216" s="352"/>
      <c r="AB216" s="82"/>
      <c r="AC216" s="71"/>
      <c r="AD216" s="70"/>
      <c r="AE216" s="226" t="s">
        <v>278</v>
      </c>
      <c r="AF216" s="230" t="s">
        <v>77</v>
      </c>
    </row>
    <row r="217" spans="2:32" ht="13" x14ac:dyDescent="0.3">
      <c r="B217" s="346" t="str">
        <f>IF(C217="","Skip",IF(AND(Validator!J711=TRUE,Validator!J211=TRUE,Validator!J461,Validator!J461=TRUE,Validator!J961=TRUE,Validator!J1211=TRUE,Validator!J1461=TRUE),"Valid","Invalid"))</f>
        <v>Skip</v>
      </c>
      <c r="C217" s="69"/>
      <c r="D217" s="407"/>
      <c r="E217" s="408"/>
      <c r="F217" s="519"/>
      <c r="G217" s="205"/>
      <c r="H217" s="519"/>
      <c r="I217" s="194"/>
      <c r="J217" s="414"/>
      <c r="K217" s="395"/>
      <c r="L217" s="412"/>
      <c r="M217" s="310"/>
      <c r="N217" s="413"/>
      <c r="O217" s="398" t="s">
        <v>278</v>
      </c>
      <c r="P217" s="399" t="s">
        <v>77</v>
      </c>
      <c r="Q217" s="348"/>
      <c r="R217" s="308"/>
      <c r="S217" s="349"/>
      <c r="T217" s="349"/>
      <c r="U217" s="90" t="str">
        <f>IF(ISERROR(VLOOKUP($T217, 'Reference data'!$J$2:$K$139, 2, FALSE)),"-",VLOOKUP($T217, 'Reference data'!$J$2:$K$139, 2, FALSE))</f>
        <v>-</v>
      </c>
      <c r="V217" s="308"/>
      <c r="W217" s="308"/>
      <c r="X217" s="312"/>
      <c r="Y217" s="313"/>
      <c r="Z217" s="228"/>
      <c r="AA217" s="352"/>
      <c r="AB217" s="82"/>
      <c r="AC217" s="71"/>
      <c r="AD217" s="70"/>
      <c r="AE217" s="226" t="s">
        <v>278</v>
      </c>
      <c r="AF217" s="230" t="s">
        <v>77</v>
      </c>
    </row>
    <row r="218" spans="2:32" ht="13" x14ac:dyDescent="0.3">
      <c r="B218" s="346" t="str">
        <f>IF(C218="","Skip",IF(AND(Validator!J712=TRUE,Validator!J212=TRUE,Validator!J462,Validator!J462=TRUE,Validator!J962=TRUE,Validator!J1212=TRUE,Validator!J1462=TRUE),"Valid","Invalid"))</f>
        <v>Skip</v>
      </c>
      <c r="C218" s="69"/>
      <c r="D218" s="407"/>
      <c r="E218" s="408"/>
      <c r="F218" s="519"/>
      <c r="G218" s="205"/>
      <c r="H218" s="519"/>
      <c r="I218" s="194"/>
      <c r="J218" s="414"/>
      <c r="K218" s="395"/>
      <c r="L218" s="412"/>
      <c r="M218" s="310"/>
      <c r="N218" s="413"/>
      <c r="O218" s="398" t="s">
        <v>278</v>
      </c>
      <c r="P218" s="399" t="s">
        <v>77</v>
      </c>
      <c r="Q218" s="348"/>
      <c r="R218" s="308"/>
      <c r="S218" s="349"/>
      <c r="T218" s="349"/>
      <c r="U218" s="90" t="str">
        <f>IF(ISERROR(VLOOKUP($T218, 'Reference data'!$J$2:$K$139, 2, FALSE)),"-",VLOOKUP($T218, 'Reference data'!$J$2:$K$139, 2, FALSE))</f>
        <v>-</v>
      </c>
      <c r="V218" s="308"/>
      <c r="W218" s="308"/>
      <c r="X218" s="312"/>
      <c r="Y218" s="313"/>
      <c r="Z218" s="228"/>
      <c r="AA218" s="352"/>
      <c r="AB218" s="82"/>
      <c r="AC218" s="71"/>
      <c r="AD218" s="70"/>
      <c r="AE218" s="226" t="s">
        <v>278</v>
      </c>
      <c r="AF218" s="230" t="s">
        <v>77</v>
      </c>
    </row>
    <row r="219" spans="2:32" ht="13" x14ac:dyDescent="0.3">
      <c r="B219" s="346" t="str">
        <f>IF(C219="","Skip",IF(AND(Validator!J713=TRUE,Validator!J213=TRUE,Validator!J463,Validator!J463=TRUE,Validator!J963=TRUE,Validator!J1213=TRUE,Validator!J1463=TRUE),"Valid","Invalid"))</f>
        <v>Skip</v>
      </c>
      <c r="C219" s="69"/>
      <c r="D219" s="407"/>
      <c r="E219" s="408"/>
      <c r="F219" s="519"/>
      <c r="G219" s="205"/>
      <c r="H219" s="519"/>
      <c r="I219" s="194"/>
      <c r="J219" s="414"/>
      <c r="K219" s="395"/>
      <c r="L219" s="412"/>
      <c r="M219" s="310"/>
      <c r="N219" s="413"/>
      <c r="O219" s="398" t="s">
        <v>278</v>
      </c>
      <c r="P219" s="399" t="s">
        <v>77</v>
      </c>
      <c r="Q219" s="348"/>
      <c r="R219" s="308"/>
      <c r="S219" s="349"/>
      <c r="T219" s="349"/>
      <c r="U219" s="90" t="str">
        <f>IF(ISERROR(VLOOKUP($T219, 'Reference data'!$J$2:$K$139, 2, FALSE)),"-",VLOOKUP($T219, 'Reference data'!$J$2:$K$139, 2, FALSE))</f>
        <v>-</v>
      </c>
      <c r="V219" s="308"/>
      <c r="W219" s="308"/>
      <c r="X219" s="312"/>
      <c r="Y219" s="313"/>
      <c r="Z219" s="228"/>
      <c r="AA219" s="352"/>
      <c r="AB219" s="82"/>
      <c r="AC219" s="71"/>
      <c r="AD219" s="70"/>
      <c r="AE219" s="226" t="s">
        <v>278</v>
      </c>
      <c r="AF219" s="230" t="s">
        <v>77</v>
      </c>
    </row>
    <row r="220" spans="2:32" ht="13" x14ac:dyDescent="0.3">
      <c r="B220" s="346" t="str">
        <f>IF(C220="","Skip",IF(AND(Validator!J714=TRUE,Validator!J214=TRUE,Validator!J464,Validator!J464=TRUE,Validator!J964=TRUE,Validator!J1214=TRUE,Validator!J1464=TRUE),"Valid","Invalid"))</f>
        <v>Skip</v>
      </c>
      <c r="C220" s="69"/>
      <c r="D220" s="407"/>
      <c r="E220" s="408"/>
      <c r="F220" s="519"/>
      <c r="G220" s="205"/>
      <c r="H220" s="519"/>
      <c r="I220" s="194"/>
      <c r="J220" s="414"/>
      <c r="K220" s="395"/>
      <c r="L220" s="412"/>
      <c r="M220" s="310"/>
      <c r="N220" s="413"/>
      <c r="O220" s="398" t="s">
        <v>278</v>
      </c>
      <c r="P220" s="399" t="s">
        <v>77</v>
      </c>
      <c r="Q220" s="348"/>
      <c r="R220" s="308"/>
      <c r="S220" s="349"/>
      <c r="T220" s="349"/>
      <c r="U220" s="90" t="str">
        <f>IF(ISERROR(VLOOKUP($T220, 'Reference data'!$J$2:$K$139, 2, FALSE)),"-",VLOOKUP($T220, 'Reference data'!$J$2:$K$139, 2, FALSE))</f>
        <v>-</v>
      </c>
      <c r="V220" s="308"/>
      <c r="W220" s="308"/>
      <c r="X220" s="312"/>
      <c r="Y220" s="313"/>
      <c r="Z220" s="228"/>
      <c r="AA220" s="352"/>
      <c r="AB220" s="82"/>
      <c r="AC220" s="71"/>
      <c r="AD220" s="70"/>
      <c r="AE220" s="226" t="s">
        <v>278</v>
      </c>
      <c r="AF220" s="230" t="s">
        <v>77</v>
      </c>
    </row>
    <row r="221" spans="2:32" ht="13" x14ac:dyDescent="0.3">
      <c r="B221" s="346" t="str">
        <f>IF(C221="","Skip",IF(AND(Validator!J715=TRUE,Validator!J215=TRUE,Validator!J465,Validator!J465=TRUE,Validator!J965=TRUE,Validator!J1215=TRUE,Validator!J1465=TRUE),"Valid","Invalid"))</f>
        <v>Skip</v>
      </c>
      <c r="C221" s="69"/>
      <c r="D221" s="407"/>
      <c r="E221" s="408"/>
      <c r="F221" s="519"/>
      <c r="G221" s="205"/>
      <c r="H221" s="519"/>
      <c r="I221" s="194"/>
      <c r="J221" s="414"/>
      <c r="K221" s="395"/>
      <c r="L221" s="412"/>
      <c r="M221" s="310"/>
      <c r="N221" s="413"/>
      <c r="O221" s="398" t="s">
        <v>278</v>
      </c>
      <c r="P221" s="399" t="s">
        <v>77</v>
      </c>
      <c r="Q221" s="348"/>
      <c r="R221" s="308"/>
      <c r="S221" s="349"/>
      <c r="T221" s="349"/>
      <c r="U221" s="90" t="str">
        <f>IF(ISERROR(VLOOKUP($T221, 'Reference data'!$J$2:$K$139, 2, FALSE)),"-",VLOOKUP($T221, 'Reference data'!$J$2:$K$139, 2, FALSE))</f>
        <v>-</v>
      </c>
      <c r="V221" s="308"/>
      <c r="W221" s="308"/>
      <c r="X221" s="312"/>
      <c r="Y221" s="313"/>
      <c r="Z221" s="228"/>
      <c r="AA221" s="352"/>
      <c r="AB221" s="82"/>
      <c r="AC221" s="71"/>
      <c r="AD221" s="70"/>
      <c r="AE221" s="226" t="s">
        <v>278</v>
      </c>
      <c r="AF221" s="230" t="s">
        <v>77</v>
      </c>
    </row>
    <row r="222" spans="2:32" ht="13" x14ac:dyDescent="0.3">
      <c r="B222" s="346" t="str">
        <f>IF(C222="","Skip",IF(AND(Validator!J716=TRUE,Validator!J216=TRUE,Validator!J466,Validator!J466=TRUE,Validator!J966=TRUE,Validator!J1216=TRUE,Validator!J1466=TRUE),"Valid","Invalid"))</f>
        <v>Skip</v>
      </c>
      <c r="C222" s="69"/>
      <c r="D222" s="407"/>
      <c r="E222" s="408"/>
      <c r="F222" s="519"/>
      <c r="G222" s="205"/>
      <c r="H222" s="519"/>
      <c r="I222" s="194"/>
      <c r="J222" s="414"/>
      <c r="K222" s="395"/>
      <c r="L222" s="412"/>
      <c r="M222" s="310"/>
      <c r="N222" s="413"/>
      <c r="O222" s="398" t="s">
        <v>278</v>
      </c>
      <c r="P222" s="399" t="s">
        <v>77</v>
      </c>
      <c r="Q222" s="348"/>
      <c r="R222" s="308"/>
      <c r="S222" s="349"/>
      <c r="T222" s="349"/>
      <c r="U222" s="90" t="str">
        <f>IF(ISERROR(VLOOKUP($T222, 'Reference data'!$J$2:$K$139, 2, FALSE)),"-",VLOOKUP($T222, 'Reference data'!$J$2:$K$139, 2, FALSE))</f>
        <v>-</v>
      </c>
      <c r="V222" s="308"/>
      <c r="W222" s="308"/>
      <c r="X222" s="312"/>
      <c r="Y222" s="313"/>
      <c r="Z222" s="228"/>
      <c r="AA222" s="352"/>
      <c r="AB222" s="82"/>
      <c r="AC222" s="71"/>
      <c r="AD222" s="70"/>
      <c r="AE222" s="226" t="s">
        <v>278</v>
      </c>
      <c r="AF222" s="230" t="s">
        <v>77</v>
      </c>
    </row>
    <row r="223" spans="2:32" ht="13" x14ac:dyDescent="0.3">
      <c r="B223" s="346" t="str">
        <f>IF(C223="","Skip",IF(AND(Validator!J717=TRUE,Validator!J217=TRUE,Validator!J467,Validator!J467=TRUE,Validator!J967=TRUE,Validator!J1217=TRUE,Validator!J1467=TRUE),"Valid","Invalid"))</f>
        <v>Skip</v>
      </c>
      <c r="C223" s="69"/>
      <c r="D223" s="407"/>
      <c r="E223" s="408"/>
      <c r="F223" s="519"/>
      <c r="G223" s="205"/>
      <c r="H223" s="519"/>
      <c r="I223" s="194"/>
      <c r="J223" s="414"/>
      <c r="K223" s="395"/>
      <c r="L223" s="412"/>
      <c r="M223" s="310"/>
      <c r="N223" s="413"/>
      <c r="O223" s="398" t="s">
        <v>278</v>
      </c>
      <c r="P223" s="399" t="s">
        <v>77</v>
      </c>
      <c r="Q223" s="348"/>
      <c r="R223" s="308"/>
      <c r="S223" s="349"/>
      <c r="T223" s="349"/>
      <c r="U223" s="90" t="str">
        <f>IF(ISERROR(VLOOKUP($T223, 'Reference data'!$J$2:$K$139, 2, FALSE)),"-",VLOOKUP($T223, 'Reference data'!$J$2:$K$139, 2, FALSE))</f>
        <v>-</v>
      </c>
      <c r="V223" s="308"/>
      <c r="W223" s="308"/>
      <c r="X223" s="312"/>
      <c r="Y223" s="313"/>
      <c r="Z223" s="228"/>
      <c r="AA223" s="352"/>
      <c r="AB223" s="82"/>
      <c r="AC223" s="71"/>
      <c r="AD223" s="70"/>
      <c r="AE223" s="226" t="s">
        <v>278</v>
      </c>
      <c r="AF223" s="230" t="s">
        <v>77</v>
      </c>
    </row>
    <row r="224" spans="2:32" ht="13" x14ac:dyDescent="0.3">
      <c r="B224" s="346" t="str">
        <f>IF(C224="","Skip",IF(AND(Validator!J718=TRUE,Validator!J218=TRUE,Validator!J468,Validator!J468=TRUE,Validator!J968=TRUE,Validator!J1218=TRUE,Validator!J1468=TRUE),"Valid","Invalid"))</f>
        <v>Skip</v>
      </c>
      <c r="C224" s="69"/>
      <c r="D224" s="407"/>
      <c r="E224" s="408"/>
      <c r="F224" s="519"/>
      <c r="G224" s="205"/>
      <c r="H224" s="519"/>
      <c r="I224" s="194"/>
      <c r="J224" s="414"/>
      <c r="K224" s="395"/>
      <c r="L224" s="412"/>
      <c r="M224" s="310"/>
      <c r="N224" s="413"/>
      <c r="O224" s="398" t="s">
        <v>278</v>
      </c>
      <c r="P224" s="399" t="s">
        <v>77</v>
      </c>
      <c r="Q224" s="348"/>
      <c r="R224" s="308"/>
      <c r="S224" s="349"/>
      <c r="T224" s="349"/>
      <c r="U224" s="90" t="str">
        <f>IF(ISERROR(VLOOKUP($T224, 'Reference data'!$J$2:$K$139, 2, FALSE)),"-",VLOOKUP($T224, 'Reference data'!$J$2:$K$139, 2, FALSE))</f>
        <v>-</v>
      </c>
      <c r="V224" s="308"/>
      <c r="W224" s="308"/>
      <c r="X224" s="312"/>
      <c r="Y224" s="313"/>
      <c r="Z224" s="228"/>
      <c r="AA224" s="352"/>
      <c r="AB224" s="82"/>
      <c r="AC224" s="71"/>
      <c r="AD224" s="70"/>
      <c r="AE224" s="226" t="s">
        <v>278</v>
      </c>
      <c r="AF224" s="230" t="s">
        <v>77</v>
      </c>
    </row>
    <row r="225" spans="2:32" ht="13" x14ac:dyDescent="0.3">
      <c r="B225" s="346" t="str">
        <f>IF(C225="","Skip",IF(AND(Validator!J719=TRUE,Validator!J219=TRUE,Validator!J469,Validator!J469=TRUE,Validator!J969=TRUE,Validator!J1219=TRUE,Validator!J1469=TRUE),"Valid","Invalid"))</f>
        <v>Skip</v>
      </c>
      <c r="C225" s="69"/>
      <c r="D225" s="407"/>
      <c r="E225" s="408"/>
      <c r="F225" s="519"/>
      <c r="G225" s="205"/>
      <c r="H225" s="519"/>
      <c r="I225" s="194"/>
      <c r="J225" s="414"/>
      <c r="K225" s="395"/>
      <c r="L225" s="412"/>
      <c r="M225" s="310"/>
      <c r="N225" s="413"/>
      <c r="O225" s="398" t="s">
        <v>278</v>
      </c>
      <c r="P225" s="399" t="s">
        <v>77</v>
      </c>
      <c r="Q225" s="348"/>
      <c r="R225" s="308"/>
      <c r="S225" s="349"/>
      <c r="T225" s="349"/>
      <c r="U225" s="90" t="str">
        <f>IF(ISERROR(VLOOKUP($T225, 'Reference data'!$J$2:$K$139, 2, FALSE)),"-",VLOOKUP($T225, 'Reference data'!$J$2:$K$139, 2, FALSE))</f>
        <v>-</v>
      </c>
      <c r="V225" s="308"/>
      <c r="W225" s="308"/>
      <c r="X225" s="312"/>
      <c r="Y225" s="313"/>
      <c r="Z225" s="228"/>
      <c r="AA225" s="352"/>
      <c r="AB225" s="82"/>
      <c r="AC225" s="71"/>
      <c r="AD225" s="70"/>
      <c r="AE225" s="226" t="s">
        <v>278</v>
      </c>
      <c r="AF225" s="230" t="s">
        <v>77</v>
      </c>
    </row>
    <row r="226" spans="2:32" ht="13" x14ac:dyDescent="0.3">
      <c r="B226" s="346" t="str">
        <f>IF(C226="","Skip",IF(AND(Validator!J720=TRUE,Validator!J220=TRUE,Validator!J470,Validator!J470=TRUE,Validator!J970=TRUE,Validator!J1220=TRUE,Validator!J1470=TRUE),"Valid","Invalid"))</f>
        <v>Skip</v>
      </c>
      <c r="C226" s="69"/>
      <c r="D226" s="407"/>
      <c r="E226" s="408"/>
      <c r="F226" s="519"/>
      <c r="G226" s="205"/>
      <c r="H226" s="519"/>
      <c r="I226" s="194"/>
      <c r="J226" s="414"/>
      <c r="K226" s="395"/>
      <c r="L226" s="412"/>
      <c r="M226" s="310"/>
      <c r="N226" s="413"/>
      <c r="O226" s="398" t="s">
        <v>278</v>
      </c>
      <c r="P226" s="399" t="s">
        <v>77</v>
      </c>
      <c r="Q226" s="348"/>
      <c r="R226" s="308"/>
      <c r="S226" s="349"/>
      <c r="T226" s="349"/>
      <c r="U226" s="90" t="str">
        <f>IF(ISERROR(VLOOKUP($T226, 'Reference data'!$J$2:$K$139, 2, FALSE)),"-",VLOOKUP($T226, 'Reference data'!$J$2:$K$139, 2, FALSE))</f>
        <v>-</v>
      </c>
      <c r="V226" s="308"/>
      <c r="W226" s="308"/>
      <c r="X226" s="312"/>
      <c r="Y226" s="313"/>
      <c r="Z226" s="228"/>
      <c r="AA226" s="352"/>
      <c r="AB226" s="82"/>
      <c r="AC226" s="71"/>
      <c r="AD226" s="70"/>
      <c r="AE226" s="226" t="s">
        <v>278</v>
      </c>
      <c r="AF226" s="230" t="s">
        <v>77</v>
      </c>
    </row>
    <row r="227" spans="2:32" ht="13" x14ac:dyDescent="0.3">
      <c r="B227" s="346" t="str">
        <f>IF(C227="","Skip",IF(AND(Validator!J721=TRUE,Validator!J221=TRUE,Validator!J471,Validator!J471=TRUE,Validator!J971=TRUE,Validator!J1221=TRUE,Validator!J1471=TRUE),"Valid","Invalid"))</f>
        <v>Skip</v>
      </c>
      <c r="C227" s="69"/>
      <c r="D227" s="407"/>
      <c r="E227" s="408"/>
      <c r="F227" s="519"/>
      <c r="G227" s="205"/>
      <c r="H227" s="519"/>
      <c r="I227" s="194"/>
      <c r="J227" s="414"/>
      <c r="K227" s="395"/>
      <c r="L227" s="412"/>
      <c r="M227" s="310"/>
      <c r="N227" s="413"/>
      <c r="O227" s="398" t="s">
        <v>278</v>
      </c>
      <c r="P227" s="399" t="s">
        <v>77</v>
      </c>
      <c r="Q227" s="348"/>
      <c r="R227" s="308"/>
      <c r="S227" s="349"/>
      <c r="T227" s="349"/>
      <c r="U227" s="90" t="str">
        <f>IF(ISERROR(VLOOKUP($T227, 'Reference data'!$J$2:$K$139, 2, FALSE)),"-",VLOOKUP($T227, 'Reference data'!$J$2:$K$139, 2, FALSE))</f>
        <v>-</v>
      </c>
      <c r="V227" s="308"/>
      <c r="W227" s="308"/>
      <c r="X227" s="312"/>
      <c r="Y227" s="313"/>
      <c r="Z227" s="228"/>
      <c r="AA227" s="352"/>
      <c r="AB227" s="82"/>
      <c r="AC227" s="71"/>
      <c r="AD227" s="70"/>
      <c r="AE227" s="226" t="s">
        <v>278</v>
      </c>
      <c r="AF227" s="230" t="s">
        <v>77</v>
      </c>
    </row>
    <row r="228" spans="2:32" ht="13" x14ac:dyDescent="0.3">
      <c r="B228" s="346" t="str">
        <f>IF(C228="","Skip",IF(AND(Validator!J722=TRUE,Validator!J222=TRUE,Validator!J472,Validator!J472=TRUE,Validator!J972=TRUE,Validator!J1222=TRUE,Validator!J1472=TRUE),"Valid","Invalid"))</f>
        <v>Skip</v>
      </c>
      <c r="C228" s="69"/>
      <c r="D228" s="407"/>
      <c r="E228" s="408"/>
      <c r="F228" s="519"/>
      <c r="G228" s="205"/>
      <c r="H228" s="519"/>
      <c r="I228" s="194"/>
      <c r="J228" s="414"/>
      <c r="K228" s="395"/>
      <c r="L228" s="412"/>
      <c r="M228" s="310"/>
      <c r="N228" s="413"/>
      <c r="O228" s="398" t="s">
        <v>278</v>
      </c>
      <c r="P228" s="399" t="s">
        <v>77</v>
      </c>
      <c r="Q228" s="348"/>
      <c r="R228" s="308"/>
      <c r="S228" s="349"/>
      <c r="T228" s="349"/>
      <c r="U228" s="90" t="str">
        <f>IF(ISERROR(VLOOKUP($T228, 'Reference data'!$J$2:$K$139, 2, FALSE)),"-",VLOOKUP($T228, 'Reference data'!$J$2:$K$139, 2, FALSE))</f>
        <v>-</v>
      </c>
      <c r="V228" s="308"/>
      <c r="W228" s="308"/>
      <c r="X228" s="312"/>
      <c r="Y228" s="313"/>
      <c r="Z228" s="228"/>
      <c r="AA228" s="352"/>
      <c r="AB228" s="82"/>
      <c r="AC228" s="71"/>
      <c r="AD228" s="70"/>
      <c r="AE228" s="226" t="s">
        <v>278</v>
      </c>
      <c r="AF228" s="230" t="s">
        <v>77</v>
      </c>
    </row>
    <row r="229" spans="2:32" ht="13" x14ac:dyDescent="0.3">
      <c r="B229" s="346" t="str">
        <f>IF(C229="","Skip",IF(AND(Validator!J723=TRUE,Validator!J223=TRUE,Validator!J473,Validator!J473=TRUE,Validator!J973=TRUE,Validator!J1223=TRUE,Validator!J1473=TRUE),"Valid","Invalid"))</f>
        <v>Skip</v>
      </c>
      <c r="C229" s="69"/>
      <c r="D229" s="407"/>
      <c r="E229" s="408"/>
      <c r="F229" s="519"/>
      <c r="G229" s="205"/>
      <c r="H229" s="519"/>
      <c r="I229" s="194"/>
      <c r="J229" s="414"/>
      <c r="K229" s="395"/>
      <c r="L229" s="412"/>
      <c r="M229" s="310"/>
      <c r="N229" s="413"/>
      <c r="O229" s="398" t="s">
        <v>278</v>
      </c>
      <c r="P229" s="399" t="s">
        <v>77</v>
      </c>
      <c r="Q229" s="348"/>
      <c r="R229" s="308"/>
      <c r="S229" s="349"/>
      <c r="T229" s="349"/>
      <c r="U229" s="90" t="str">
        <f>IF(ISERROR(VLOOKUP($T229, 'Reference data'!$J$2:$K$139, 2, FALSE)),"-",VLOOKUP($T229, 'Reference data'!$J$2:$K$139, 2, FALSE))</f>
        <v>-</v>
      </c>
      <c r="V229" s="308"/>
      <c r="W229" s="308"/>
      <c r="X229" s="312"/>
      <c r="Y229" s="313"/>
      <c r="Z229" s="228"/>
      <c r="AA229" s="352"/>
      <c r="AB229" s="82"/>
      <c r="AC229" s="71"/>
      <c r="AD229" s="70"/>
      <c r="AE229" s="226" t="s">
        <v>278</v>
      </c>
      <c r="AF229" s="230" t="s">
        <v>77</v>
      </c>
    </row>
    <row r="230" spans="2:32" ht="13" x14ac:dyDescent="0.3">
      <c r="B230" s="346" t="str">
        <f>IF(C230="","Skip",IF(AND(Validator!J724=TRUE,Validator!J224=TRUE,Validator!J474,Validator!J474=TRUE,Validator!J974=TRUE,Validator!J1224=TRUE,Validator!J1474=TRUE),"Valid","Invalid"))</f>
        <v>Skip</v>
      </c>
      <c r="C230" s="69"/>
      <c r="D230" s="407"/>
      <c r="E230" s="408"/>
      <c r="F230" s="519"/>
      <c r="G230" s="205"/>
      <c r="H230" s="519"/>
      <c r="I230" s="194"/>
      <c r="J230" s="414"/>
      <c r="K230" s="395"/>
      <c r="L230" s="412"/>
      <c r="M230" s="310"/>
      <c r="N230" s="413"/>
      <c r="O230" s="398" t="s">
        <v>278</v>
      </c>
      <c r="P230" s="399" t="s">
        <v>77</v>
      </c>
      <c r="Q230" s="348"/>
      <c r="R230" s="308"/>
      <c r="S230" s="349"/>
      <c r="T230" s="349"/>
      <c r="U230" s="90" t="str">
        <f>IF(ISERROR(VLOOKUP($T230, 'Reference data'!$J$2:$K$139, 2, FALSE)),"-",VLOOKUP($T230, 'Reference data'!$J$2:$K$139, 2, FALSE))</f>
        <v>-</v>
      </c>
      <c r="V230" s="308"/>
      <c r="W230" s="308"/>
      <c r="X230" s="312"/>
      <c r="Y230" s="313"/>
      <c r="Z230" s="228"/>
      <c r="AA230" s="352"/>
      <c r="AB230" s="82"/>
      <c r="AC230" s="71"/>
      <c r="AD230" s="70"/>
      <c r="AE230" s="226" t="s">
        <v>278</v>
      </c>
      <c r="AF230" s="230" t="s">
        <v>77</v>
      </c>
    </row>
    <row r="231" spans="2:32" ht="13" x14ac:dyDescent="0.3">
      <c r="B231" s="346" t="str">
        <f>IF(C231="","Skip",IF(AND(Validator!J725=TRUE,Validator!J225=TRUE,Validator!J475,Validator!J475=TRUE,Validator!J975=TRUE,Validator!J1225=TRUE,Validator!J1475=TRUE),"Valid","Invalid"))</f>
        <v>Skip</v>
      </c>
      <c r="C231" s="69"/>
      <c r="D231" s="407"/>
      <c r="E231" s="408"/>
      <c r="F231" s="519"/>
      <c r="G231" s="205"/>
      <c r="H231" s="519"/>
      <c r="I231" s="194"/>
      <c r="J231" s="414"/>
      <c r="K231" s="395"/>
      <c r="L231" s="412"/>
      <c r="M231" s="310"/>
      <c r="N231" s="413"/>
      <c r="O231" s="398" t="s">
        <v>278</v>
      </c>
      <c r="P231" s="399" t="s">
        <v>77</v>
      </c>
      <c r="Q231" s="348"/>
      <c r="R231" s="308"/>
      <c r="S231" s="349"/>
      <c r="T231" s="349"/>
      <c r="U231" s="90" t="str">
        <f>IF(ISERROR(VLOOKUP($T231, 'Reference data'!$J$2:$K$139, 2, FALSE)),"-",VLOOKUP($T231, 'Reference data'!$J$2:$K$139, 2, FALSE))</f>
        <v>-</v>
      </c>
      <c r="V231" s="308"/>
      <c r="W231" s="308"/>
      <c r="X231" s="312"/>
      <c r="Y231" s="313"/>
      <c r="Z231" s="228"/>
      <c r="AA231" s="352"/>
      <c r="AB231" s="82"/>
      <c r="AC231" s="71"/>
      <c r="AD231" s="70"/>
      <c r="AE231" s="226" t="s">
        <v>278</v>
      </c>
      <c r="AF231" s="230" t="s">
        <v>77</v>
      </c>
    </row>
    <row r="232" spans="2:32" ht="13" x14ac:dyDescent="0.3">
      <c r="B232" s="346" t="str">
        <f>IF(C232="","Skip",IF(AND(Validator!J726=TRUE,Validator!J226=TRUE,Validator!J476,Validator!J476=TRUE,Validator!J976=TRUE,Validator!J1226=TRUE,Validator!J1476=TRUE),"Valid","Invalid"))</f>
        <v>Skip</v>
      </c>
      <c r="C232" s="69"/>
      <c r="D232" s="407"/>
      <c r="E232" s="408"/>
      <c r="F232" s="519"/>
      <c r="G232" s="205"/>
      <c r="H232" s="519"/>
      <c r="I232" s="194"/>
      <c r="J232" s="414"/>
      <c r="K232" s="395"/>
      <c r="L232" s="412"/>
      <c r="M232" s="310"/>
      <c r="N232" s="413"/>
      <c r="O232" s="398" t="s">
        <v>278</v>
      </c>
      <c r="P232" s="399" t="s">
        <v>77</v>
      </c>
      <c r="Q232" s="348"/>
      <c r="R232" s="308"/>
      <c r="S232" s="349"/>
      <c r="T232" s="349"/>
      <c r="U232" s="90" t="str">
        <f>IF(ISERROR(VLOOKUP($T232, 'Reference data'!$J$2:$K$139, 2, FALSE)),"-",VLOOKUP($T232, 'Reference data'!$J$2:$K$139, 2, FALSE))</f>
        <v>-</v>
      </c>
      <c r="V232" s="308"/>
      <c r="W232" s="308"/>
      <c r="X232" s="312"/>
      <c r="Y232" s="313"/>
      <c r="Z232" s="228"/>
      <c r="AA232" s="352"/>
      <c r="AB232" s="82"/>
      <c r="AC232" s="71"/>
      <c r="AD232" s="70"/>
      <c r="AE232" s="226" t="s">
        <v>278</v>
      </c>
      <c r="AF232" s="230" t="s">
        <v>77</v>
      </c>
    </row>
    <row r="233" spans="2:32" ht="13" x14ac:dyDescent="0.3">
      <c r="B233" s="346" t="str">
        <f>IF(C233="","Skip",IF(AND(Validator!J727=TRUE,Validator!J227=TRUE,Validator!J477,Validator!J477=TRUE,Validator!J977=TRUE,Validator!J1227=TRUE,Validator!J1477=TRUE),"Valid","Invalid"))</f>
        <v>Skip</v>
      </c>
      <c r="C233" s="69"/>
      <c r="D233" s="407"/>
      <c r="E233" s="408"/>
      <c r="F233" s="519"/>
      <c r="G233" s="205"/>
      <c r="H233" s="519"/>
      <c r="I233" s="194"/>
      <c r="J233" s="414"/>
      <c r="K233" s="395"/>
      <c r="L233" s="412"/>
      <c r="M233" s="310"/>
      <c r="N233" s="413"/>
      <c r="O233" s="398" t="s">
        <v>278</v>
      </c>
      <c r="P233" s="399" t="s">
        <v>77</v>
      </c>
      <c r="Q233" s="348"/>
      <c r="R233" s="308"/>
      <c r="S233" s="349"/>
      <c r="T233" s="349"/>
      <c r="U233" s="90" t="str">
        <f>IF(ISERROR(VLOOKUP($T233, 'Reference data'!$J$2:$K$139, 2, FALSE)),"-",VLOOKUP($T233, 'Reference data'!$J$2:$K$139, 2, FALSE))</f>
        <v>-</v>
      </c>
      <c r="V233" s="308"/>
      <c r="W233" s="308"/>
      <c r="X233" s="312"/>
      <c r="Y233" s="313"/>
      <c r="Z233" s="228"/>
      <c r="AA233" s="352"/>
      <c r="AB233" s="82"/>
      <c r="AC233" s="71"/>
      <c r="AD233" s="70"/>
      <c r="AE233" s="226" t="s">
        <v>278</v>
      </c>
      <c r="AF233" s="230" t="s">
        <v>77</v>
      </c>
    </row>
    <row r="234" spans="2:32" ht="13" x14ac:dyDescent="0.3">
      <c r="B234" s="346" t="str">
        <f>IF(C234="","Skip",IF(AND(Validator!J728=TRUE,Validator!J228=TRUE,Validator!J478,Validator!J478=TRUE,Validator!J978=TRUE,Validator!J1228=TRUE,Validator!J1478=TRUE),"Valid","Invalid"))</f>
        <v>Skip</v>
      </c>
      <c r="C234" s="69"/>
      <c r="D234" s="407"/>
      <c r="E234" s="408"/>
      <c r="F234" s="519"/>
      <c r="G234" s="205"/>
      <c r="H234" s="519"/>
      <c r="I234" s="194"/>
      <c r="J234" s="414"/>
      <c r="K234" s="395"/>
      <c r="L234" s="412"/>
      <c r="M234" s="310"/>
      <c r="N234" s="413"/>
      <c r="O234" s="398" t="s">
        <v>278</v>
      </c>
      <c r="P234" s="399" t="s">
        <v>77</v>
      </c>
      <c r="Q234" s="348"/>
      <c r="R234" s="308"/>
      <c r="S234" s="349"/>
      <c r="T234" s="349"/>
      <c r="U234" s="90" t="str">
        <f>IF(ISERROR(VLOOKUP($T234, 'Reference data'!$J$2:$K$139, 2, FALSE)),"-",VLOOKUP($T234, 'Reference data'!$J$2:$K$139, 2, FALSE))</f>
        <v>-</v>
      </c>
      <c r="V234" s="308"/>
      <c r="W234" s="308"/>
      <c r="X234" s="312"/>
      <c r="Y234" s="313"/>
      <c r="Z234" s="228"/>
      <c r="AA234" s="352"/>
      <c r="AB234" s="82"/>
      <c r="AC234" s="71"/>
      <c r="AD234" s="70"/>
      <c r="AE234" s="226" t="s">
        <v>278</v>
      </c>
      <c r="AF234" s="230" t="s">
        <v>77</v>
      </c>
    </row>
    <row r="235" spans="2:32" ht="13" x14ac:dyDescent="0.3">
      <c r="B235" s="346" t="str">
        <f>IF(C235="","Skip",IF(AND(Validator!J729=TRUE,Validator!J229=TRUE,Validator!J479,Validator!J479=TRUE,Validator!J979=TRUE,Validator!J1229=TRUE,Validator!J1479=TRUE),"Valid","Invalid"))</f>
        <v>Skip</v>
      </c>
      <c r="C235" s="69"/>
      <c r="D235" s="407"/>
      <c r="E235" s="408"/>
      <c r="F235" s="519"/>
      <c r="G235" s="205"/>
      <c r="H235" s="519"/>
      <c r="I235" s="194"/>
      <c r="J235" s="414"/>
      <c r="K235" s="395"/>
      <c r="L235" s="412"/>
      <c r="M235" s="310"/>
      <c r="N235" s="413"/>
      <c r="O235" s="398" t="s">
        <v>278</v>
      </c>
      <c r="P235" s="399" t="s">
        <v>77</v>
      </c>
      <c r="Q235" s="348"/>
      <c r="R235" s="308"/>
      <c r="S235" s="349"/>
      <c r="T235" s="349"/>
      <c r="U235" s="90" t="str">
        <f>IF(ISERROR(VLOOKUP($T235, 'Reference data'!$J$2:$K$139, 2, FALSE)),"-",VLOOKUP($T235, 'Reference data'!$J$2:$K$139, 2, FALSE))</f>
        <v>-</v>
      </c>
      <c r="V235" s="308"/>
      <c r="W235" s="308"/>
      <c r="X235" s="312"/>
      <c r="Y235" s="313"/>
      <c r="Z235" s="228"/>
      <c r="AA235" s="352"/>
      <c r="AB235" s="82"/>
      <c r="AC235" s="71"/>
      <c r="AD235" s="70"/>
      <c r="AE235" s="226" t="s">
        <v>278</v>
      </c>
      <c r="AF235" s="230" t="s">
        <v>77</v>
      </c>
    </row>
    <row r="236" spans="2:32" ht="13" x14ac:dyDescent="0.3">
      <c r="B236" s="346" t="str">
        <f>IF(C236="","Skip",IF(AND(Validator!J730=TRUE,Validator!J230=TRUE,Validator!J480,Validator!J480=TRUE,Validator!J980=TRUE,Validator!J1230=TRUE,Validator!J1480=TRUE),"Valid","Invalid"))</f>
        <v>Skip</v>
      </c>
      <c r="C236" s="69"/>
      <c r="D236" s="407"/>
      <c r="E236" s="408"/>
      <c r="F236" s="519"/>
      <c r="G236" s="205"/>
      <c r="H236" s="519"/>
      <c r="I236" s="194"/>
      <c r="J236" s="414"/>
      <c r="K236" s="395"/>
      <c r="L236" s="412"/>
      <c r="M236" s="310"/>
      <c r="N236" s="413"/>
      <c r="O236" s="398" t="s">
        <v>278</v>
      </c>
      <c r="P236" s="399" t="s">
        <v>77</v>
      </c>
      <c r="Q236" s="348"/>
      <c r="R236" s="308"/>
      <c r="S236" s="349"/>
      <c r="T236" s="349"/>
      <c r="U236" s="90" t="str">
        <f>IF(ISERROR(VLOOKUP($T236, 'Reference data'!$J$2:$K$139, 2, FALSE)),"-",VLOOKUP($T236, 'Reference data'!$J$2:$K$139, 2, FALSE))</f>
        <v>-</v>
      </c>
      <c r="V236" s="308"/>
      <c r="W236" s="308"/>
      <c r="X236" s="312"/>
      <c r="Y236" s="313"/>
      <c r="Z236" s="228"/>
      <c r="AA236" s="352"/>
      <c r="AB236" s="82"/>
      <c r="AC236" s="71"/>
      <c r="AD236" s="70"/>
      <c r="AE236" s="226" t="s">
        <v>278</v>
      </c>
      <c r="AF236" s="230" t="s">
        <v>77</v>
      </c>
    </row>
    <row r="237" spans="2:32" ht="13" x14ac:dyDescent="0.3">
      <c r="B237" s="346" t="str">
        <f>IF(C237="","Skip",IF(AND(Validator!J731=TRUE,Validator!J231=TRUE,Validator!J481,Validator!J481=TRUE,Validator!J981=TRUE,Validator!J1231=TRUE,Validator!J1481=TRUE),"Valid","Invalid"))</f>
        <v>Skip</v>
      </c>
      <c r="C237" s="69"/>
      <c r="D237" s="407"/>
      <c r="E237" s="408"/>
      <c r="F237" s="519"/>
      <c r="G237" s="205"/>
      <c r="H237" s="519"/>
      <c r="I237" s="194"/>
      <c r="J237" s="414"/>
      <c r="K237" s="395"/>
      <c r="L237" s="412"/>
      <c r="M237" s="310"/>
      <c r="N237" s="413"/>
      <c r="O237" s="398" t="s">
        <v>278</v>
      </c>
      <c r="P237" s="399" t="s">
        <v>77</v>
      </c>
      <c r="Q237" s="348"/>
      <c r="R237" s="308"/>
      <c r="S237" s="349"/>
      <c r="T237" s="349"/>
      <c r="U237" s="90" t="str">
        <f>IF(ISERROR(VLOOKUP($T237, 'Reference data'!$J$2:$K$139, 2, FALSE)),"-",VLOOKUP($T237, 'Reference data'!$J$2:$K$139, 2, FALSE))</f>
        <v>-</v>
      </c>
      <c r="V237" s="308"/>
      <c r="W237" s="308"/>
      <c r="X237" s="312"/>
      <c r="Y237" s="313"/>
      <c r="Z237" s="228"/>
      <c r="AA237" s="352"/>
      <c r="AB237" s="82"/>
      <c r="AC237" s="71"/>
      <c r="AD237" s="70"/>
      <c r="AE237" s="226" t="s">
        <v>278</v>
      </c>
      <c r="AF237" s="230" t="s">
        <v>77</v>
      </c>
    </row>
    <row r="238" spans="2:32" ht="13" x14ac:dyDescent="0.3">
      <c r="B238" s="346" t="str">
        <f>IF(C238="","Skip",IF(AND(Validator!J732=TRUE,Validator!J232=TRUE,Validator!J482,Validator!J482=TRUE,Validator!J982=TRUE,Validator!J1232=TRUE,Validator!J1482=TRUE),"Valid","Invalid"))</f>
        <v>Skip</v>
      </c>
      <c r="C238" s="69"/>
      <c r="D238" s="407"/>
      <c r="E238" s="408"/>
      <c r="F238" s="519"/>
      <c r="G238" s="205"/>
      <c r="H238" s="519"/>
      <c r="I238" s="194"/>
      <c r="J238" s="414"/>
      <c r="K238" s="395"/>
      <c r="L238" s="412"/>
      <c r="M238" s="310"/>
      <c r="N238" s="413"/>
      <c r="O238" s="398" t="s">
        <v>278</v>
      </c>
      <c r="P238" s="399" t="s">
        <v>77</v>
      </c>
      <c r="Q238" s="348"/>
      <c r="R238" s="308"/>
      <c r="S238" s="349"/>
      <c r="T238" s="349"/>
      <c r="U238" s="90" t="str">
        <f>IF(ISERROR(VLOOKUP($T238, 'Reference data'!$J$2:$K$139, 2, FALSE)),"-",VLOOKUP($T238, 'Reference data'!$J$2:$K$139, 2, FALSE))</f>
        <v>-</v>
      </c>
      <c r="V238" s="308"/>
      <c r="W238" s="308"/>
      <c r="X238" s="312"/>
      <c r="Y238" s="313"/>
      <c r="Z238" s="228"/>
      <c r="AA238" s="352"/>
      <c r="AB238" s="82"/>
      <c r="AC238" s="71"/>
      <c r="AD238" s="70"/>
      <c r="AE238" s="226" t="s">
        <v>278</v>
      </c>
      <c r="AF238" s="230" t="s">
        <v>77</v>
      </c>
    </row>
    <row r="239" spans="2:32" ht="13" x14ac:dyDescent="0.3">
      <c r="B239" s="346" t="str">
        <f>IF(C239="","Skip",IF(AND(Validator!J733=TRUE,Validator!J233=TRUE,Validator!J483,Validator!J483=TRUE,Validator!J983=TRUE,Validator!J1233=TRUE,Validator!J1483=TRUE),"Valid","Invalid"))</f>
        <v>Skip</v>
      </c>
      <c r="C239" s="69"/>
      <c r="D239" s="407"/>
      <c r="E239" s="408"/>
      <c r="F239" s="519"/>
      <c r="G239" s="205"/>
      <c r="H239" s="519"/>
      <c r="I239" s="194"/>
      <c r="J239" s="414"/>
      <c r="K239" s="395"/>
      <c r="L239" s="412"/>
      <c r="M239" s="310"/>
      <c r="N239" s="413"/>
      <c r="O239" s="398" t="s">
        <v>278</v>
      </c>
      <c r="P239" s="399" t="s">
        <v>77</v>
      </c>
      <c r="Q239" s="348"/>
      <c r="R239" s="308"/>
      <c r="S239" s="349"/>
      <c r="T239" s="349"/>
      <c r="U239" s="90" t="str">
        <f>IF(ISERROR(VLOOKUP($T239, 'Reference data'!$J$2:$K$139, 2, FALSE)),"-",VLOOKUP($T239, 'Reference data'!$J$2:$K$139, 2, FALSE))</f>
        <v>-</v>
      </c>
      <c r="V239" s="308"/>
      <c r="W239" s="308"/>
      <c r="X239" s="312"/>
      <c r="Y239" s="313"/>
      <c r="Z239" s="228"/>
      <c r="AA239" s="352"/>
      <c r="AB239" s="82"/>
      <c r="AC239" s="71"/>
      <c r="AD239" s="70"/>
      <c r="AE239" s="226" t="s">
        <v>278</v>
      </c>
      <c r="AF239" s="230" t="s">
        <v>77</v>
      </c>
    </row>
    <row r="240" spans="2:32" ht="13" x14ac:dyDescent="0.3">
      <c r="B240" s="346" t="str">
        <f>IF(C240="","Skip",IF(AND(Validator!J734=TRUE,Validator!J234=TRUE,Validator!J484,Validator!J484=TRUE,Validator!J984=TRUE,Validator!J1234=TRUE,Validator!J1484=TRUE),"Valid","Invalid"))</f>
        <v>Skip</v>
      </c>
      <c r="C240" s="69"/>
      <c r="D240" s="407"/>
      <c r="E240" s="408"/>
      <c r="F240" s="519"/>
      <c r="G240" s="205"/>
      <c r="H240" s="519"/>
      <c r="I240" s="194"/>
      <c r="J240" s="414"/>
      <c r="K240" s="395"/>
      <c r="L240" s="412"/>
      <c r="M240" s="310"/>
      <c r="N240" s="413"/>
      <c r="O240" s="398" t="s">
        <v>278</v>
      </c>
      <c r="P240" s="399" t="s">
        <v>77</v>
      </c>
      <c r="Q240" s="348"/>
      <c r="R240" s="308"/>
      <c r="S240" s="349"/>
      <c r="T240" s="349"/>
      <c r="U240" s="90" t="str">
        <f>IF(ISERROR(VLOOKUP($T240, 'Reference data'!$J$2:$K$139, 2, FALSE)),"-",VLOOKUP($T240, 'Reference data'!$J$2:$K$139, 2, FALSE))</f>
        <v>-</v>
      </c>
      <c r="V240" s="308"/>
      <c r="W240" s="308"/>
      <c r="X240" s="312"/>
      <c r="Y240" s="313"/>
      <c r="Z240" s="228"/>
      <c r="AA240" s="352"/>
      <c r="AB240" s="82"/>
      <c r="AC240" s="71"/>
      <c r="AD240" s="70"/>
      <c r="AE240" s="226" t="s">
        <v>278</v>
      </c>
      <c r="AF240" s="230" t="s">
        <v>77</v>
      </c>
    </row>
    <row r="241" spans="2:32" ht="13" x14ac:dyDescent="0.3">
      <c r="B241" s="346" t="str">
        <f>IF(C241="","Skip",IF(AND(Validator!J735=TRUE,Validator!J235=TRUE,Validator!J485,Validator!J485=TRUE,Validator!J985=TRUE,Validator!J1235=TRUE,Validator!J1485=TRUE),"Valid","Invalid"))</f>
        <v>Skip</v>
      </c>
      <c r="C241" s="69"/>
      <c r="D241" s="407"/>
      <c r="E241" s="408"/>
      <c r="F241" s="519"/>
      <c r="G241" s="205"/>
      <c r="H241" s="519"/>
      <c r="I241" s="194"/>
      <c r="J241" s="414"/>
      <c r="K241" s="395"/>
      <c r="L241" s="412"/>
      <c r="M241" s="310"/>
      <c r="N241" s="413"/>
      <c r="O241" s="398" t="s">
        <v>278</v>
      </c>
      <c r="P241" s="399" t="s">
        <v>77</v>
      </c>
      <c r="Q241" s="348"/>
      <c r="R241" s="308"/>
      <c r="S241" s="349"/>
      <c r="T241" s="349"/>
      <c r="U241" s="90" t="str">
        <f>IF(ISERROR(VLOOKUP($T241, 'Reference data'!$J$2:$K$139, 2, FALSE)),"-",VLOOKUP($T241, 'Reference data'!$J$2:$K$139, 2, FALSE))</f>
        <v>-</v>
      </c>
      <c r="V241" s="308"/>
      <c r="W241" s="308"/>
      <c r="X241" s="312"/>
      <c r="Y241" s="313"/>
      <c r="Z241" s="228"/>
      <c r="AA241" s="352"/>
      <c r="AB241" s="82"/>
      <c r="AC241" s="71"/>
      <c r="AD241" s="70"/>
      <c r="AE241" s="226" t="s">
        <v>278</v>
      </c>
      <c r="AF241" s="230" t="s">
        <v>77</v>
      </c>
    </row>
    <row r="242" spans="2:32" ht="13" x14ac:dyDescent="0.3">
      <c r="B242" s="346" t="str">
        <f>IF(C242="","Skip",IF(AND(Validator!J736=TRUE,Validator!J236=TRUE,Validator!J486,Validator!J486=TRUE,Validator!J986=TRUE,Validator!J1236=TRUE,Validator!J1486=TRUE),"Valid","Invalid"))</f>
        <v>Skip</v>
      </c>
      <c r="C242" s="69"/>
      <c r="D242" s="407"/>
      <c r="E242" s="408"/>
      <c r="F242" s="519"/>
      <c r="G242" s="205"/>
      <c r="H242" s="519"/>
      <c r="I242" s="194"/>
      <c r="J242" s="414"/>
      <c r="K242" s="395"/>
      <c r="L242" s="412"/>
      <c r="M242" s="310"/>
      <c r="N242" s="413"/>
      <c r="O242" s="398" t="s">
        <v>278</v>
      </c>
      <c r="P242" s="399" t="s">
        <v>77</v>
      </c>
      <c r="Q242" s="348"/>
      <c r="R242" s="308"/>
      <c r="S242" s="349"/>
      <c r="T242" s="349"/>
      <c r="U242" s="90" t="str">
        <f>IF(ISERROR(VLOOKUP($T242, 'Reference data'!$J$2:$K$139, 2, FALSE)),"-",VLOOKUP($T242, 'Reference data'!$J$2:$K$139, 2, FALSE))</f>
        <v>-</v>
      </c>
      <c r="V242" s="308"/>
      <c r="W242" s="308"/>
      <c r="X242" s="312"/>
      <c r="Y242" s="313"/>
      <c r="Z242" s="228"/>
      <c r="AA242" s="352"/>
      <c r="AB242" s="82"/>
      <c r="AC242" s="71"/>
      <c r="AD242" s="70"/>
      <c r="AE242" s="226" t="s">
        <v>278</v>
      </c>
      <c r="AF242" s="230" t="s">
        <v>77</v>
      </c>
    </row>
    <row r="243" spans="2:32" ht="13" x14ac:dyDescent="0.3">
      <c r="B243" s="346" t="str">
        <f>IF(C243="","Skip",IF(AND(Validator!J737=TRUE,Validator!J237=TRUE,Validator!J487,Validator!J487=TRUE,Validator!J987=TRUE,Validator!J1237=TRUE,Validator!J1487=TRUE),"Valid","Invalid"))</f>
        <v>Skip</v>
      </c>
      <c r="C243" s="69"/>
      <c r="D243" s="407"/>
      <c r="E243" s="408"/>
      <c r="F243" s="519"/>
      <c r="G243" s="205"/>
      <c r="H243" s="519"/>
      <c r="I243" s="194"/>
      <c r="J243" s="414"/>
      <c r="K243" s="395"/>
      <c r="L243" s="412"/>
      <c r="M243" s="310"/>
      <c r="N243" s="413"/>
      <c r="O243" s="398" t="s">
        <v>278</v>
      </c>
      <c r="P243" s="399" t="s">
        <v>77</v>
      </c>
      <c r="Q243" s="348"/>
      <c r="R243" s="308"/>
      <c r="S243" s="349"/>
      <c r="T243" s="349"/>
      <c r="U243" s="90" t="str">
        <f>IF(ISERROR(VLOOKUP($T243, 'Reference data'!$J$2:$K$139, 2, FALSE)),"-",VLOOKUP($T243, 'Reference data'!$J$2:$K$139, 2, FALSE))</f>
        <v>-</v>
      </c>
      <c r="V243" s="308"/>
      <c r="W243" s="308"/>
      <c r="X243" s="312"/>
      <c r="Y243" s="313"/>
      <c r="Z243" s="228"/>
      <c r="AA243" s="352"/>
      <c r="AB243" s="82"/>
      <c r="AC243" s="71"/>
      <c r="AD243" s="70"/>
      <c r="AE243" s="226" t="s">
        <v>278</v>
      </c>
      <c r="AF243" s="230" t="s">
        <v>77</v>
      </c>
    </row>
    <row r="244" spans="2:32" ht="13" x14ac:dyDescent="0.3">
      <c r="B244" s="346" t="str">
        <f>IF(C244="","Skip",IF(AND(Validator!J738=TRUE,Validator!J238=TRUE,Validator!J488,Validator!J488=TRUE,Validator!J988=TRUE,Validator!J1238=TRUE,Validator!J1488=TRUE),"Valid","Invalid"))</f>
        <v>Skip</v>
      </c>
      <c r="C244" s="69"/>
      <c r="D244" s="407"/>
      <c r="E244" s="408"/>
      <c r="F244" s="519"/>
      <c r="G244" s="205"/>
      <c r="H244" s="519"/>
      <c r="I244" s="194"/>
      <c r="J244" s="414"/>
      <c r="K244" s="395"/>
      <c r="L244" s="412"/>
      <c r="M244" s="310"/>
      <c r="N244" s="413"/>
      <c r="O244" s="398" t="s">
        <v>278</v>
      </c>
      <c r="P244" s="399" t="s">
        <v>77</v>
      </c>
      <c r="Q244" s="348"/>
      <c r="R244" s="308"/>
      <c r="S244" s="349"/>
      <c r="T244" s="349"/>
      <c r="U244" s="90" t="str">
        <f>IF(ISERROR(VLOOKUP($T244, 'Reference data'!$J$2:$K$139, 2, FALSE)),"-",VLOOKUP($T244, 'Reference data'!$J$2:$K$139, 2, FALSE))</f>
        <v>-</v>
      </c>
      <c r="V244" s="308"/>
      <c r="W244" s="308"/>
      <c r="X244" s="312"/>
      <c r="Y244" s="313"/>
      <c r="Z244" s="228"/>
      <c r="AA244" s="352"/>
      <c r="AB244" s="82"/>
      <c r="AC244" s="71"/>
      <c r="AD244" s="70"/>
      <c r="AE244" s="226" t="s">
        <v>278</v>
      </c>
      <c r="AF244" s="230" t="s">
        <v>77</v>
      </c>
    </row>
    <row r="245" spans="2:32" ht="13" x14ac:dyDescent="0.3">
      <c r="B245" s="346" t="str">
        <f>IF(C245="","Skip",IF(AND(Validator!J739=TRUE,Validator!J239=TRUE,Validator!J489,Validator!J489=TRUE,Validator!J989=TRUE,Validator!J1239=TRUE,Validator!J1489=TRUE),"Valid","Invalid"))</f>
        <v>Skip</v>
      </c>
      <c r="C245" s="69"/>
      <c r="D245" s="407"/>
      <c r="E245" s="408"/>
      <c r="F245" s="519"/>
      <c r="G245" s="205"/>
      <c r="H245" s="519"/>
      <c r="I245" s="194"/>
      <c r="J245" s="414"/>
      <c r="K245" s="395"/>
      <c r="L245" s="412"/>
      <c r="M245" s="310"/>
      <c r="N245" s="413"/>
      <c r="O245" s="398" t="s">
        <v>278</v>
      </c>
      <c r="P245" s="399" t="s">
        <v>77</v>
      </c>
      <c r="Q245" s="348"/>
      <c r="R245" s="308"/>
      <c r="S245" s="349"/>
      <c r="T245" s="349"/>
      <c r="U245" s="90" t="str">
        <f>IF(ISERROR(VLOOKUP($T245, 'Reference data'!$J$2:$K$139, 2, FALSE)),"-",VLOOKUP($T245, 'Reference data'!$J$2:$K$139, 2, FALSE))</f>
        <v>-</v>
      </c>
      <c r="V245" s="308"/>
      <c r="W245" s="308"/>
      <c r="X245" s="312"/>
      <c r="Y245" s="313"/>
      <c r="Z245" s="228"/>
      <c r="AA245" s="352"/>
      <c r="AB245" s="82"/>
      <c r="AC245" s="71"/>
      <c r="AD245" s="70"/>
      <c r="AE245" s="226" t="s">
        <v>278</v>
      </c>
      <c r="AF245" s="230" t="s">
        <v>77</v>
      </c>
    </row>
    <row r="246" spans="2:32" ht="13" x14ac:dyDescent="0.3">
      <c r="B246" s="346" t="str">
        <f>IF(C246="","Skip",IF(AND(Validator!J740=TRUE,Validator!J240=TRUE,Validator!J490,Validator!J490=TRUE,Validator!J990=TRUE,Validator!J1240=TRUE,Validator!J1490=TRUE),"Valid","Invalid"))</f>
        <v>Skip</v>
      </c>
      <c r="C246" s="69"/>
      <c r="D246" s="407"/>
      <c r="E246" s="408"/>
      <c r="F246" s="519"/>
      <c r="G246" s="205"/>
      <c r="H246" s="519"/>
      <c r="I246" s="194"/>
      <c r="J246" s="414"/>
      <c r="K246" s="395"/>
      <c r="L246" s="412"/>
      <c r="M246" s="310"/>
      <c r="N246" s="413"/>
      <c r="O246" s="398" t="s">
        <v>278</v>
      </c>
      <c r="P246" s="399" t="s">
        <v>77</v>
      </c>
      <c r="Q246" s="348"/>
      <c r="R246" s="308"/>
      <c r="S246" s="349"/>
      <c r="T246" s="349"/>
      <c r="U246" s="90" t="str">
        <f>IF(ISERROR(VLOOKUP($T246, 'Reference data'!$J$2:$K$139, 2, FALSE)),"-",VLOOKUP($T246, 'Reference data'!$J$2:$K$139, 2, FALSE))</f>
        <v>-</v>
      </c>
      <c r="V246" s="308"/>
      <c r="W246" s="308"/>
      <c r="X246" s="312"/>
      <c r="Y246" s="313"/>
      <c r="Z246" s="228"/>
      <c r="AA246" s="352"/>
      <c r="AB246" s="82"/>
      <c r="AC246" s="71"/>
      <c r="AD246" s="70"/>
      <c r="AE246" s="226" t="s">
        <v>278</v>
      </c>
      <c r="AF246" s="230" t="s">
        <v>77</v>
      </c>
    </row>
    <row r="247" spans="2:32" ht="13" x14ac:dyDescent="0.3">
      <c r="B247" s="346" t="str">
        <f>IF(C247="","Skip",IF(AND(Validator!J741=TRUE,Validator!J241=TRUE,Validator!J491,Validator!J491=TRUE,Validator!J991=TRUE,Validator!J1241=TRUE,Validator!J1491=TRUE),"Valid","Invalid"))</f>
        <v>Skip</v>
      </c>
      <c r="C247" s="69"/>
      <c r="D247" s="407"/>
      <c r="E247" s="408"/>
      <c r="F247" s="519"/>
      <c r="G247" s="205"/>
      <c r="H247" s="519"/>
      <c r="I247" s="194"/>
      <c r="J247" s="414"/>
      <c r="K247" s="395"/>
      <c r="L247" s="412"/>
      <c r="M247" s="310"/>
      <c r="N247" s="413"/>
      <c r="O247" s="398" t="s">
        <v>278</v>
      </c>
      <c r="P247" s="399" t="s">
        <v>77</v>
      </c>
      <c r="Q247" s="348"/>
      <c r="R247" s="308"/>
      <c r="S247" s="349"/>
      <c r="T247" s="349"/>
      <c r="U247" s="90" t="str">
        <f>IF(ISERROR(VLOOKUP($T247, 'Reference data'!$J$2:$K$139, 2, FALSE)),"-",VLOOKUP($T247, 'Reference data'!$J$2:$K$139, 2, FALSE))</f>
        <v>-</v>
      </c>
      <c r="V247" s="308"/>
      <c r="W247" s="308"/>
      <c r="X247" s="312"/>
      <c r="Y247" s="313"/>
      <c r="Z247" s="228"/>
      <c r="AA247" s="352"/>
      <c r="AB247" s="82"/>
      <c r="AC247" s="71"/>
      <c r="AD247" s="70"/>
      <c r="AE247" s="226" t="s">
        <v>278</v>
      </c>
      <c r="AF247" s="230" t="s">
        <v>77</v>
      </c>
    </row>
    <row r="248" spans="2:32" ht="13" x14ac:dyDescent="0.3">
      <c r="B248" s="346" t="str">
        <f>IF(C248="","Skip",IF(AND(Validator!J742=TRUE,Validator!J242=TRUE,Validator!J492,Validator!J492=TRUE,Validator!J992=TRUE,Validator!J1242=TRUE,Validator!J1492=TRUE),"Valid","Invalid"))</f>
        <v>Skip</v>
      </c>
      <c r="C248" s="69"/>
      <c r="D248" s="407"/>
      <c r="E248" s="408"/>
      <c r="F248" s="519"/>
      <c r="G248" s="205"/>
      <c r="H248" s="519"/>
      <c r="I248" s="194"/>
      <c r="J248" s="414"/>
      <c r="K248" s="395"/>
      <c r="L248" s="412"/>
      <c r="M248" s="310"/>
      <c r="N248" s="413"/>
      <c r="O248" s="398" t="s">
        <v>278</v>
      </c>
      <c r="P248" s="399" t="s">
        <v>77</v>
      </c>
      <c r="Q248" s="348"/>
      <c r="R248" s="308"/>
      <c r="S248" s="349"/>
      <c r="T248" s="349"/>
      <c r="U248" s="90" t="str">
        <f>IF(ISERROR(VLOOKUP($T248, 'Reference data'!$J$2:$K$139, 2, FALSE)),"-",VLOOKUP($T248, 'Reference data'!$J$2:$K$139, 2, FALSE))</f>
        <v>-</v>
      </c>
      <c r="V248" s="308"/>
      <c r="W248" s="308"/>
      <c r="X248" s="312"/>
      <c r="Y248" s="313"/>
      <c r="Z248" s="228"/>
      <c r="AA248" s="352"/>
      <c r="AB248" s="82"/>
      <c r="AC248" s="71"/>
      <c r="AD248" s="70"/>
      <c r="AE248" s="226" t="s">
        <v>278</v>
      </c>
      <c r="AF248" s="230" t="s">
        <v>77</v>
      </c>
    </row>
    <row r="249" spans="2:32" ht="13" x14ac:dyDescent="0.3">
      <c r="B249" s="346" t="str">
        <f>IF(C249="","Skip",IF(AND(Validator!J743=TRUE,Validator!J243=TRUE,Validator!J493,Validator!J493=TRUE,Validator!J993=TRUE,Validator!J1243=TRUE,Validator!J1493=TRUE),"Valid","Invalid"))</f>
        <v>Skip</v>
      </c>
      <c r="C249" s="69"/>
      <c r="D249" s="407"/>
      <c r="E249" s="408"/>
      <c r="F249" s="519"/>
      <c r="G249" s="205"/>
      <c r="H249" s="519"/>
      <c r="I249" s="194"/>
      <c r="J249" s="414"/>
      <c r="K249" s="395"/>
      <c r="L249" s="412"/>
      <c r="M249" s="310"/>
      <c r="N249" s="413"/>
      <c r="O249" s="398" t="s">
        <v>278</v>
      </c>
      <c r="P249" s="399" t="s">
        <v>77</v>
      </c>
      <c r="Q249" s="348"/>
      <c r="R249" s="308"/>
      <c r="S249" s="349"/>
      <c r="T249" s="349"/>
      <c r="U249" s="90" t="str">
        <f>IF(ISERROR(VLOOKUP($T249, 'Reference data'!$J$2:$K$139, 2, FALSE)),"-",VLOOKUP($T249, 'Reference data'!$J$2:$K$139, 2, FALSE))</f>
        <v>-</v>
      </c>
      <c r="V249" s="308"/>
      <c r="W249" s="308"/>
      <c r="X249" s="312"/>
      <c r="Y249" s="313"/>
      <c r="Z249" s="228"/>
      <c r="AA249" s="352"/>
      <c r="AB249" s="82"/>
      <c r="AC249" s="71"/>
      <c r="AD249" s="70"/>
      <c r="AE249" s="226" t="s">
        <v>278</v>
      </c>
      <c r="AF249" s="230" t="s">
        <v>77</v>
      </c>
    </row>
    <row r="250" spans="2:32" ht="13" x14ac:dyDescent="0.3">
      <c r="B250" s="346" t="str">
        <f>IF(C250="","Skip",IF(AND(Validator!J744=TRUE,Validator!J244=TRUE,Validator!J494,Validator!J494=TRUE,Validator!J994=TRUE,Validator!J1244=TRUE,Validator!J1494=TRUE),"Valid","Invalid"))</f>
        <v>Skip</v>
      </c>
      <c r="C250" s="69"/>
      <c r="D250" s="407"/>
      <c r="E250" s="408"/>
      <c r="F250" s="519"/>
      <c r="G250" s="205"/>
      <c r="H250" s="519"/>
      <c r="I250" s="194"/>
      <c r="J250" s="414"/>
      <c r="K250" s="395"/>
      <c r="L250" s="412"/>
      <c r="M250" s="310"/>
      <c r="N250" s="413"/>
      <c r="O250" s="398" t="s">
        <v>278</v>
      </c>
      <c r="P250" s="399" t="s">
        <v>77</v>
      </c>
      <c r="Q250" s="348"/>
      <c r="R250" s="308"/>
      <c r="S250" s="349"/>
      <c r="T250" s="349"/>
      <c r="U250" s="90" t="str">
        <f>IF(ISERROR(VLOOKUP($T250, 'Reference data'!$J$2:$K$139, 2, FALSE)),"-",VLOOKUP($T250, 'Reference data'!$J$2:$K$139, 2, FALSE))</f>
        <v>-</v>
      </c>
      <c r="V250" s="308"/>
      <c r="W250" s="308"/>
      <c r="X250" s="312"/>
      <c r="Y250" s="313"/>
      <c r="Z250" s="228"/>
      <c r="AA250" s="352"/>
      <c r="AB250" s="82"/>
      <c r="AC250" s="71"/>
      <c r="AD250" s="70"/>
      <c r="AE250" s="226" t="s">
        <v>278</v>
      </c>
      <c r="AF250" s="230" t="s">
        <v>77</v>
      </c>
    </row>
    <row r="251" spans="2:32" ht="13" x14ac:dyDescent="0.3">
      <c r="B251" s="346" t="str">
        <f>IF(C251="","Skip",IF(AND(Validator!J745=TRUE,Validator!J245=TRUE,Validator!J495,Validator!J495=TRUE,Validator!J995=TRUE,Validator!J1245=TRUE,Validator!J1495=TRUE),"Valid","Invalid"))</f>
        <v>Skip</v>
      </c>
      <c r="C251" s="69"/>
      <c r="D251" s="407"/>
      <c r="E251" s="408"/>
      <c r="F251" s="519"/>
      <c r="G251" s="205"/>
      <c r="H251" s="519"/>
      <c r="I251" s="194"/>
      <c r="J251" s="414"/>
      <c r="K251" s="395"/>
      <c r="L251" s="412"/>
      <c r="M251" s="310"/>
      <c r="N251" s="413"/>
      <c r="O251" s="398" t="s">
        <v>278</v>
      </c>
      <c r="P251" s="399" t="s">
        <v>77</v>
      </c>
      <c r="Q251" s="348"/>
      <c r="R251" s="308"/>
      <c r="S251" s="349"/>
      <c r="T251" s="349"/>
      <c r="U251" s="90" t="str">
        <f>IF(ISERROR(VLOOKUP($T251, 'Reference data'!$J$2:$K$139, 2, FALSE)),"-",VLOOKUP($T251, 'Reference data'!$J$2:$K$139, 2, FALSE))</f>
        <v>-</v>
      </c>
      <c r="V251" s="308"/>
      <c r="W251" s="308"/>
      <c r="X251" s="312"/>
      <c r="Y251" s="313"/>
      <c r="Z251" s="228"/>
      <c r="AA251" s="352"/>
      <c r="AB251" s="82"/>
      <c r="AC251" s="71"/>
      <c r="AD251" s="70"/>
      <c r="AE251" s="226" t="s">
        <v>278</v>
      </c>
      <c r="AF251" s="230" t="s">
        <v>77</v>
      </c>
    </row>
    <row r="252" spans="2:32" ht="13" x14ac:dyDescent="0.3">
      <c r="B252" s="346" t="str">
        <f>IF(C252="","Skip",IF(AND(Validator!J746=TRUE,Validator!J246=TRUE,Validator!J496,Validator!J496=TRUE,Validator!J996=TRUE,Validator!J1246=TRUE,Validator!J1496=TRUE),"Valid","Invalid"))</f>
        <v>Skip</v>
      </c>
      <c r="C252" s="69"/>
      <c r="D252" s="407"/>
      <c r="E252" s="408"/>
      <c r="F252" s="519"/>
      <c r="G252" s="205"/>
      <c r="H252" s="519"/>
      <c r="I252" s="194"/>
      <c r="J252" s="414"/>
      <c r="K252" s="395"/>
      <c r="L252" s="412"/>
      <c r="M252" s="310"/>
      <c r="N252" s="413"/>
      <c r="O252" s="398" t="s">
        <v>278</v>
      </c>
      <c r="P252" s="399" t="s">
        <v>77</v>
      </c>
      <c r="Q252" s="348"/>
      <c r="R252" s="308"/>
      <c r="S252" s="349"/>
      <c r="T252" s="349"/>
      <c r="U252" s="90" t="str">
        <f>IF(ISERROR(VLOOKUP($T252, 'Reference data'!$J$2:$K$139, 2, FALSE)),"-",VLOOKUP($T252, 'Reference data'!$J$2:$K$139, 2, FALSE))</f>
        <v>-</v>
      </c>
      <c r="V252" s="308"/>
      <c r="W252" s="308"/>
      <c r="X252" s="312"/>
      <c r="Y252" s="313"/>
      <c r="Z252" s="228"/>
      <c r="AA252" s="352"/>
      <c r="AB252" s="82"/>
      <c r="AC252" s="71"/>
      <c r="AD252" s="70"/>
      <c r="AE252" s="226" t="s">
        <v>278</v>
      </c>
      <c r="AF252" s="230" t="s">
        <v>77</v>
      </c>
    </row>
    <row r="253" spans="2:32" ht="13" x14ac:dyDescent="0.3">
      <c r="B253" s="346" t="str">
        <f>IF(C253="","Skip",IF(AND(Validator!J747=TRUE,Validator!J247=TRUE,Validator!J497,Validator!J497=TRUE,Validator!J997=TRUE,Validator!J1247=TRUE,Validator!J1497=TRUE),"Valid","Invalid"))</f>
        <v>Skip</v>
      </c>
      <c r="C253" s="69"/>
      <c r="D253" s="407"/>
      <c r="E253" s="408"/>
      <c r="F253" s="519"/>
      <c r="G253" s="205"/>
      <c r="H253" s="519"/>
      <c r="I253" s="194"/>
      <c r="J253" s="414"/>
      <c r="K253" s="395"/>
      <c r="L253" s="412"/>
      <c r="M253" s="310"/>
      <c r="N253" s="413"/>
      <c r="O253" s="398" t="s">
        <v>278</v>
      </c>
      <c r="P253" s="399" t="s">
        <v>77</v>
      </c>
      <c r="Q253" s="348"/>
      <c r="R253" s="308"/>
      <c r="S253" s="349"/>
      <c r="T253" s="349"/>
      <c r="U253" s="90" t="str">
        <f>IF(ISERROR(VLOOKUP($T253, 'Reference data'!$J$2:$K$139, 2, FALSE)),"-",VLOOKUP($T253, 'Reference data'!$J$2:$K$139, 2, FALSE))</f>
        <v>-</v>
      </c>
      <c r="V253" s="308"/>
      <c r="W253" s="308"/>
      <c r="X253" s="312"/>
      <c r="Y253" s="313"/>
      <c r="Z253" s="228"/>
      <c r="AA253" s="352"/>
      <c r="AB253" s="82"/>
      <c r="AC253" s="71"/>
      <c r="AD253" s="70"/>
      <c r="AE253" s="226" t="s">
        <v>278</v>
      </c>
      <c r="AF253" s="230" t="s">
        <v>77</v>
      </c>
    </row>
    <row r="254" spans="2:32" ht="13" x14ac:dyDescent="0.3">
      <c r="B254" s="346" t="str">
        <f>IF(C254="","Skip",IF(AND(Validator!J748=TRUE,Validator!J248=TRUE,Validator!J498,Validator!J498=TRUE,Validator!J998=TRUE,Validator!J1248=TRUE,Validator!J1498=TRUE),"Valid","Invalid"))</f>
        <v>Skip</v>
      </c>
      <c r="C254" s="69"/>
      <c r="D254" s="407"/>
      <c r="E254" s="408"/>
      <c r="F254" s="519"/>
      <c r="G254" s="205"/>
      <c r="H254" s="519"/>
      <c r="I254" s="194"/>
      <c r="J254" s="414"/>
      <c r="K254" s="395"/>
      <c r="L254" s="412"/>
      <c r="M254" s="310"/>
      <c r="N254" s="413"/>
      <c r="O254" s="398" t="s">
        <v>278</v>
      </c>
      <c r="P254" s="399" t="s">
        <v>77</v>
      </c>
      <c r="Q254" s="348"/>
      <c r="R254" s="308"/>
      <c r="S254" s="349"/>
      <c r="T254" s="349"/>
      <c r="U254" s="90" t="str">
        <f>IF(ISERROR(VLOOKUP($T254, 'Reference data'!$J$2:$K$139, 2, FALSE)),"-",VLOOKUP($T254, 'Reference data'!$J$2:$K$139, 2, FALSE))</f>
        <v>-</v>
      </c>
      <c r="V254" s="308"/>
      <c r="W254" s="308"/>
      <c r="X254" s="312"/>
      <c r="Y254" s="313"/>
      <c r="Z254" s="228"/>
      <c r="AA254" s="352"/>
      <c r="AB254" s="82"/>
      <c r="AC254" s="71"/>
      <c r="AD254" s="70"/>
      <c r="AE254" s="226" t="s">
        <v>278</v>
      </c>
      <c r="AF254" s="230" t="s">
        <v>77</v>
      </c>
    </row>
    <row r="255" spans="2:32" ht="13" x14ac:dyDescent="0.3">
      <c r="B255" s="346" t="str">
        <f>IF(C255="","Skip",IF(AND(Validator!J749=TRUE,Validator!J249=TRUE,Validator!J499,Validator!J499=TRUE,Validator!J999=TRUE,Validator!J1249=TRUE,Validator!J1499=TRUE),"Valid","Invalid"))</f>
        <v>Skip</v>
      </c>
      <c r="C255" s="69"/>
      <c r="D255" s="407"/>
      <c r="E255" s="408"/>
      <c r="F255" s="519"/>
      <c r="G255" s="205"/>
      <c r="H255" s="519"/>
      <c r="I255" s="194"/>
      <c r="J255" s="414"/>
      <c r="K255" s="395"/>
      <c r="L255" s="412"/>
      <c r="M255" s="310"/>
      <c r="N255" s="413"/>
      <c r="O255" s="398" t="s">
        <v>278</v>
      </c>
      <c r="P255" s="399" t="s">
        <v>77</v>
      </c>
      <c r="Q255" s="348"/>
      <c r="R255" s="308"/>
      <c r="S255" s="349"/>
      <c r="T255" s="349"/>
      <c r="U255" s="90" t="str">
        <f>IF(ISERROR(VLOOKUP($T255, 'Reference data'!$J$2:$K$139, 2, FALSE)),"-",VLOOKUP($T255, 'Reference data'!$J$2:$K$139, 2, FALSE))</f>
        <v>-</v>
      </c>
      <c r="V255" s="308"/>
      <c r="W255" s="308"/>
      <c r="X255" s="312"/>
      <c r="Y255" s="313"/>
      <c r="Z255" s="228"/>
      <c r="AA255" s="352"/>
      <c r="AB255" s="82"/>
      <c r="AC255" s="71"/>
      <c r="AD255" s="70"/>
      <c r="AE255" s="226" t="s">
        <v>278</v>
      </c>
      <c r="AF255" s="230" t="s">
        <v>77</v>
      </c>
    </row>
    <row r="256" spans="2:32" ht="13" x14ac:dyDescent="0.3">
      <c r="B256" s="346" t="str">
        <f>IF(C256="","Skip",IF(AND(Validator!J750=TRUE,Validator!J250=TRUE,Validator!J500,Validator!J500=TRUE,Validator!J1000=TRUE,Validator!J1250=TRUE,Validator!J1500=TRUE),"Valid","Invalid"))</f>
        <v>Skip</v>
      </c>
      <c r="C256" s="69"/>
      <c r="D256" s="407"/>
      <c r="E256" s="408"/>
      <c r="F256" s="519"/>
      <c r="G256" s="205"/>
      <c r="H256" s="519"/>
      <c r="I256" s="194"/>
      <c r="J256" s="414"/>
      <c r="K256" s="395"/>
      <c r="L256" s="412"/>
      <c r="M256" s="310"/>
      <c r="N256" s="413"/>
      <c r="O256" s="398" t="s">
        <v>278</v>
      </c>
      <c r="P256" s="399" t="s">
        <v>77</v>
      </c>
      <c r="Q256" s="348"/>
      <c r="R256" s="308"/>
      <c r="S256" s="349"/>
      <c r="T256" s="349"/>
      <c r="U256" s="90" t="str">
        <f>IF(ISERROR(VLOOKUP($T256, 'Reference data'!$J$2:$K$139, 2, FALSE)),"-",VLOOKUP($T256, 'Reference data'!$J$2:$K$139, 2, FALSE))</f>
        <v>-</v>
      </c>
      <c r="V256" s="308"/>
      <c r="W256" s="308"/>
      <c r="X256" s="312"/>
      <c r="Y256" s="313"/>
      <c r="Z256" s="228"/>
      <c r="AA256" s="352"/>
      <c r="AB256" s="82"/>
      <c r="AC256" s="71"/>
      <c r="AD256" s="70"/>
      <c r="AE256" s="226" t="s">
        <v>278</v>
      </c>
      <c r="AF256" s="230" t="s">
        <v>77</v>
      </c>
    </row>
    <row r="257" spans="2:32" ht="13" x14ac:dyDescent="0.3">
      <c r="B257" s="346" t="str">
        <f>IF(C257="","Skip",IF(AND(Validator!J751=TRUE,Validator!J251=TRUE,Validator!J501,Validator!J501=TRUE,Validator!J1001=TRUE,Validator!J1251=TRUE,Validator!J1501=TRUE),"Valid","Invalid"))</f>
        <v>Skip</v>
      </c>
      <c r="C257" s="69"/>
      <c r="D257" s="407"/>
      <c r="E257" s="408"/>
      <c r="F257" s="519"/>
      <c r="G257" s="205"/>
      <c r="H257" s="519"/>
      <c r="I257" s="194"/>
      <c r="J257" s="414"/>
      <c r="K257" s="395"/>
      <c r="L257" s="412"/>
      <c r="M257" s="310"/>
      <c r="N257" s="413"/>
      <c r="O257" s="398" t="s">
        <v>278</v>
      </c>
      <c r="P257" s="399" t="s">
        <v>77</v>
      </c>
      <c r="Q257" s="348"/>
      <c r="R257" s="308"/>
      <c r="S257" s="349"/>
      <c r="T257" s="349"/>
      <c r="U257" s="90" t="str">
        <f>IF(ISERROR(VLOOKUP($T257, 'Reference data'!$J$2:$K$139, 2, FALSE)),"-",VLOOKUP($T257, 'Reference data'!$J$2:$K$139, 2, FALSE))</f>
        <v>-</v>
      </c>
      <c r="V257" s="308"/>
      <c r="W257" s="308"/>
      <c r="X257" s="312"/>
      <c r="Y257" s="313"/>
      <c r="Z257" s="228"/>
      <c r="AA257" s="352"/>
      <c r="AB257" s="82"/>
      <c r="AC257" s="71"/>
      <c r="AD257" s="70"/>
      <c r="AE257" s="226" t="s">
        <v>278</v>
      </c>
      <c r="AF257" s="230" t="s">
        <v>77</v>
      </c>
    </row>
    <row r="258" spans="2:32" ht="13" x14ac:dyDescent="0.3">
      <c r="B258" s="346" t="str">
        <f>IF(C258="","Skip",IF(AND(Validator!J752=TRUE,Validator!J252=TRUE,Validator!J502,Validator!J502=TRUE,Validator!J1002=TRUE,Validator!J1252=TRUE,Validator!J1502=TRUE),"Valid","Invalid"))</f>
        <v>Skip</v>
      </c>
      <c r="C258" s="69"/>
      <c r="D258" s="407"/>
      <c r="E258" s="408"/>
      <c r="F258" s="519"/>
      <c r="G258" s="205"/>
      <c r="H258" s="519"/>
      <c r="I258" s="194"/>
      <c r="J258" s="414"/>
      <c r="K258" s="395"/>
      <c r="L258" s="412"/>
      <c r="M258" s="310"/>
      <c r="N258" s="413"/>
      <c r="O258" s="398" t="s">
        <v>278</v>
      </c>
      <c r="P258" s="399" t="s">
        <v>77</v>
      </c>
      <c r="Q258" s="348"/>
      <c r="R258" s="308"/>
      <c r="S258" s="349"/>
      <c r="T258" s="349"/>
      <c r="U258" s="90" t="str">
        <f>IF(ISERROR(VLOOKUP($T258, 'Reference data'!$J$2:$K$139, 2, FALSE)),"-",VLOOKUP($T258, 'Reference data'!$J$2:$K$139, 2, FALSE))</f>
        <v>-</v>
      </c>
      <c r="V258" s="308"/>
      <c r="W258" s="308"/>
      <c r="X258" s="312"/>
      <c r="Y258" s="313"/>
      <c r="Z258" s="228"/>
      <c r="AA258" s="352"/>
      <c r="AB258" s="82"/>
      <c r="AC258" s="71"/>
      <c r="AD258" s="70"/>
      <c r="AE258" s="226" t="s">
        <v>278</v>
      </c>
      <c r="AF258" s="230" t="s">
        <v>77</v>
      </c>
    </row>
    <row r="259" spans="2:32" ht="13" x14ac:dyDescent="0.3">
      <c r="B259" s="346" t="str">
        <f>IF(C259="","Skip",IF(AND(Validator!J753=TRUE,Validator!J253=TRUE,Validator!J503,Validator!J503=TRUE,Validator!J1003=TRUE,Validator!J1253=TRUE,Validator!J1503=TRUE),"Valid","Invalid"))</f>
        <v>Skip</v>
      </c>
      <c r="C259" s="69"/>
      <c r="D259" s="407"/>
      <c r="E259" s="408"/>
      <c r="F259" s="519"/>
      <c r="G259" s="205"/>
      <c r="H259" s="519"/>
      <c r="I259" s="194"/>
      <c r="J259" s="414"/>
      <c r="K259" s="395"/>
      <c r="L259" s="412"/>
      <c r="M259" s="310"/>
      <c r="N259" s="413"/>
      <c r="O259" s="398" t="s">
        <v>278</v>
      </c>
      <c r="P259" s="399" t="s">
        <v>77</v>
      </c>
      <c r="Q259" s="348"/>
      <c r="R259" s="308"/>
      <c r="S259" s="349"/>
      <c r="T259" s="349"/>
      <c r="U259" s="90" t="str">
        <f>IF(ISERROR(VLOOKUP($T259, 'Reference data'!$J$2:$K$139, 2, FALSE)),"-",VLOOKUP($T259, 'Reference data'!$J$2:$K$139, 2, FALSE))</f>
        <v>-</v>
      </c>
      <c r="V259" s="308"/>
      <c r="W259" s="308"/>
      <c r="X259" s="312"/>
      <c r="Y259" s="313"/>
      <c r="Z259" s="228"/>
      <c r="AA259" s="352"/>
      <c r="AB259" s="82"/>
      <c r="AC259" s="71"/>
      <c r="AD259" s="70"/>
      <c r="AE259" s="226" t="s">
        <v>278</v>
      </c>
      <c r="AF259" s="230" t="s">
        <v>77</v>
      </c>
    </row>
    <row r="260" spans="2:32" ht="13" x14ac:dyDescent="0.3">
      <c r="B260" s="346" t="str">
        <f>IF(C260="","Skip",IF(AND(Validator!J754=TRUE,Validator!J254=TRUE,Validator!J504,Validator!J504=TRUE,Validator!J1004=TRUE,Validator!J1254=TRUE,Validator!J1504=TRUE),"Valid","Invalid"))</f>
        <v>Skip</v>
      </c>
      <c r="C260" s="69"/>
      <c r="D260" s="407"/>
      <c r="E260" s="408"/>
      <c r="F260" s="519"/>
      <c r="G260" s="205"/>
      <c r="H260" s="519"/>
      <c r="I260" s="194"/>
      <c r="J260" s="414"/>
      <c r="K260" s="395"/>
      <c r="L260" s="412"/>
      <c r="M260" s="310"/>
      <c r="N260" s="413"/>
      <c r="O260" s="398" t="s">
        <v>278</v>
      </c>
      <c r="P260" s="399" t="s">
        <v>77</v>
      </c>
      <c r="Q260" s="348"/>
      <c r="R260" s="308"/>
      <c r="S260" s="349"/>
      <c r="T260" s="349"/>
      <c r="U260" s="90" t="str">
        <f>IF(ISERROR(VLOOKUP($T260, 'Reference data'!$J$2:$K$139, 2, FALSE)),"-",VLOOKUP($T260, 'Reference data'!$J$2:$K$139, 2, FALSE))</f>
        <v>-</v>
      </c>
      <c r="V260" s="308"/>
      <c r="W260" s="308"/>
      <c r="X260" s="312"/>
      <c r="Y260" s="313"/>
      <c r="Z260" s="228"/>
      <c r="AA260" s="352"/>
      <c r="AB260" s="82"/>
      <c r="AC260" s="71"/>
      <c r="AD260" s="70"/>
      <c r="AE260" s="226" t="s">
        <v>278</v>
      </c>
      <c r="AF260" s="230" t="s">
        <v>77</v>
      </c>
    </row>
    <row r="261" spans="2:32" ht="13" x14ac:dyDescent="0.3">
      <c r="B261" s="346" t="str">
        <f>IF(C261="","Skip",IF(AND(Validator!J755=TRUE,Validator!J255=TRUE,Validator!J505,Validator!J505=TRUE,Validator!J1005=TRUE,Validator!J1255=TRUE,Validator!J1505=TRUE),"Valid","Invalid"))</f>
        <v>Skip</v>
      </c>
      <c r="C261" s="69"/>
      <c r="D261" s="407"/>
      <c r="E261" s="408"/>
      <c r="F261" s="519"/>
      <c r="G261" s="205"/>
      <c r="H261" s="519"/>
      <c r="I261" s="194"/>
      <c r="J261" s="414"/>
      <c r="K261" s="395"/>
      <c r="L261" s="412"/>
      <c r="M261" s="310"/>
      <c r="N261" s="413"/>
      <c r="O261" s="398" t="s">
        <v>278</v>
      </c>
      <c r="P261" s="399" t="s">
        <v>77</v>
      </c>
      <c r="Q261" s="348"/>
      <c r="R261" s="308"/>
      <c r="S261" s="349"/>
      <c r="T261" s="349"/>
      <c r="U261" s="90" t="str">
        <f>IF(ISERROR(VLOOKUP($T261, 'Reference data'!$J$2:$K$139, 2, FALSE)),"-",VLOOKUP($T261, 'Reference data'!$J$2:$K$139, 2, FALSE))</f>
        <v>-</v>
      </c>
      <c r="V261" s="308"/>
      <c r="W261" s="308"/>
      <c r="X261" s="312"/>
      <c r="Y261" s="313"/>
      <c r="Z261" s="228"/>
      <c r="AA261" s="352"/>
      <c r="AB261" s="82"/>
      <c r="AC261" s="71"/>
      <c r="AD261" s="70"/>
      <c r="AE261" s="226" t="s">
        <v>278</v>
      </c>
      <c r="AF261" s="230" t="s">
        <v>77</v>
      </c>
    </row>
    <row r="262" spans="2:32" ht="13" x14ac:dyDescent="0.3">
      <c r="B262" s="346" t="str">
        <f>IF(C262="","Skip",IF(AND(Validator!J756=TRUE,Validator!J256=TRUE,Validator!J506,Validator!J506=TRUE,Validator!J1006=TRUE,Validator!J1256=TRUE,Validator!J1506=TRUE),"Valid","Invalid"))</f>
        <v>Skip</v>
      </c>
      <c r="C262" s="69"/>
      <c r="D262" s="407"/>
      <c r="E262" s="408"/>
      <c r="F262" s="519"/>
      <c r="G262" s="205"/>
      <c r="H262" s="519"/>
      <c r="I262" s="194"/>
      <c r="J262" s="414"/>
      <c r="K262" s="395"/>
      <c r="L262" s="412"/>
      <c r="M262" s="310"/>
      <c r="N262" s="413"/>
      <c r="O262" s="398" t="s">
        <v>278</v>
      </c>
      <c r="P262" s="399" t="s">
        <v>77</v>
      </c>
      <c r="Q262" s="348"/>
      <c r="R262" s="308"/>
      <c r="S262" s="349"/>
      <c r="T262" s="349"/>
      <c r="U262" s="90" t="str">
        <f>IF(ISERROR(VLOOKUP($T262, 'Reference data'!$J$2:$K$139, 2, FALSE)),"-",VLOOKUP($T262, 'Reference data'!$J$2:$K$139, 2, FALSE))</f>
        <v>-</v>
      </c>
      <c r="V262" s="308"/>
      <c r="W262" s="308"/>
      <c r="X262" s="312"/>
      <c r="Y262" s="313"/>
      <c r="Z262" s="228"/>
      <c r="AA262" s="352"/>
      <c r="AB262" s="82"/>
      <c r="AC262" s="71"/>
      <c r="AD262" s="70"/>
      <c r="AE262" s="226" t="s">
        <v>278</v>
      </c>
      <c r="AF262" s="230" t="s">
        <v>77</v>
      </c>
    </row>
    <row r="263" spans="2:32" ht="13.5" thickBot="1" x14ac:dyDescent="0.35">
      <c r="B263" s="347" t="str">
        <f>IF(C263="","Skip",IF(AND(Validator!J757=TRUE,Validator!J257=TRUE,Validator!J507,Validator!J507=TRUE,Validator!J1007=TRUE,Validator!J1257=TRUE,Validator!J1507=TRUE),"Valid","Invalid"))</f>
        <v>Skip</v>
      </c>
      <c r="C263" s="72"/>
      <c r="D263" s="409"/>
      <c r="E263" s="410"/>
      <c r="F263" s="527"/>
      <c r="G263" s="208"/>
      <c r="H263" s="528"/>
      <c r="I263" s="197"/>
      <c r="J263" s="415"/>
      <c r="K263" s="416"/>
      <c r="L263" s="417"/>
      <c r="M263" s="311"/>
      <c r="N263" s="418"/>
      <c r="O263" s="405" t="s">
        <v>278</v>
      </c>
      <c r="P263" s="406" t="s">
        <v>77</v>
      </c>
      <c r="Q263" s="350"/>
      <c r="R263" s="309"/>
      <c r="S263" s="351"/>
      <c r="T263" s="351"/>
      <c r="U263" s="91" t="str">
        <f>IF(ISERROR(VLOOKUP($T263, 'Reference data'!$J$2:$K$139, 2, FALSE)),"-",VLOOKUP($T263, 'Reference data'!$J$2:$K$139, 2, FALSE))</f>
        <v>-</v>
      </c>
      <c r="V263" s="309"/>
      <c r="W263" s="309"/>
      <c r="X263" s="314"/>
      <c r="Y263" s="315"/>
      <c r="Z263" s="229"/>
      <c r="AA263" s="353"/>
      <c r="AB263" s="83"/>
      <c r="AC263" s="73"/>
      <c r="AD263" s="73"/>
      <c r="AE263" s="227" t="s">
        <v>278</v>
      </c>
      <c r="AF263" s="231" t="s">
        <v>77</v>
      </c>
    </row>
    <row r="264" spans="2:32" ht="6.75" customHeight="1" thickTop="1" x14ac:dyDescent="0.25"/>
    <row r="265" spans="2:32" ht="10.5" hidden="1" customHeight="1" x14ac:dyDescent="0.25">
      <c r="B265" s="164" t="s">
        <v>1913</v>
      </c>
      <c r="C265" s="435" t="s">
        <v>2046</v>
      </c>
    </row>
    <row r="267" spans="2:32" ht="12.75" customHeight="1" x14ac:dyDescent="0.25"/>
    <row r="268" spans="2:32" ht="12.75" customHeight="1" x14ac:dyDescent="0.25">
      <c r="J268" s="419"/>
      <c r="K268" s="419"/>
    </row>
    <row r="269" spans="2:32" x14ac:dyDescent="0.25">
      <c r="J269" s="419"/>
      <c r="K269" s="419"/>
    </row>
    <row r="270" spans="2:32" x14ac:dyDescent="0.25">
      <c r="J270" s="419"/>
      <c r="K270" s="419"/>
    </row>
    <row r="271" spans="2:32" x14ac:dyDescent="0.25">
      <c r="J271" s="419"/>
      <c r="K271" s="419"/>
    </row>
    <row r="272" spans="2:32" x14ac:dyDescent="0.25">
      <c r="J272" s="419"/>
      <c r="K272" s="419"/>
    </row>
    <row r="273" spans="10:11" x14ac:dyDescent="0.25">
      <c r="J273" s="419"/>
      <c r="K273" s="419"/>
    </row>
    <row r="274" spans="10:11" x14ac:dyDescent="0.25">
      <c r="J274" s="419"/>
      <c r="K274" s="419"/>
    </row>
    <row r="275" spans="10:11" x14ac:dyDescent="0.25">
      <c r="J275" s="419"/>
      <c r="K275" s="419"/>
    </row>
    <row r="276" spans="10:11" x14ac:dyDescent="0.25">
      <c r="J276" s="419"/>
      <c r="K276" s="419"/>
    </row>
    <row r="277" spans="10:11" x14ac:dyDescent="0.25">
      <c r="J277" s="419"/>
      <c r="K277" s="419"/>
    </row>
    <row r="278" spans="10:11" x14ac:dyDescent="0.25">
      <c r="J278" s="419"/>
      <c r="K278" s="419"/>
    </row>
  </sheetData>
  <sheetProtection password="A656" sheet="1" formatCells="0" formatColumns="0" formatRows="0" selectLockedCells="1"/>
  <mergeCells count="23">
    <mergeCell ref="AH13:AM17"/>
    <mergeCell ref="L7:M7"/>
    <mergeCell ref="C12:H12"/>
    <mergeCell ref="I12:Y12"/>
    <mergeCell ref="Z12:AF12"/>
    <mergeCell ref="G7:H7"/>
    <mergeCell ref="G8:H8"/>
    <mergeCell ref="G9:H9"/>
    <mergeCell ref="G10:H10"/>
    <mergeCell ref="J7:K7"/>
    <mergeCell ref="J8:K8"/>
    <mergeCell ref="J9:K9"/>
    <mergeCell ref="N7:S7"/>
    <mergeCell ref="N8:S8"/>
    <mergeCell ref="AC5:AJ5"/>
    <mergeCell ref="AC6:AJ7"/>
    <mergeCell ref="AC8:AJ8"/>
    <mergeCell ref="B10:D11"/>
    <mergeCell ref="L8:M8"/>
    <mergeCell ref="B5:D5"/>
    <mergeCell ref="L6:S6"/>
    <mergeCell ref="E6:K6"/>
    <mergeCell ref="E5:S5"/>
  </mergeCells>
  <conditionalFormatting sqref="G10 U14:U263 F14:F263 H14:H263">
    <cfRule type="containsErrors" dxfId="40" priority="127">
      <formula>ISERROR(F10)</formula>
    </cfRule>
  </conditionalFormatting>
  <conditionalFormatting sqref="B14:B263">
    <cfRule type="expression" dxfId="39" priority="15">
      <formula>B14="Invalid"</formula>
    </cfRule>
    <cfRule type="expression" dxfId="38" priority="1">
      <formula>B14="Valid"</formula>
    </cfRule>
  </conditionalFormatting>
  <conditionalFormatting sqref="K2">
    <cfRule type="expression" dxfId="37" priority="7">
      <formula>OHZ_STATUS="Empty"</formula>
    </cfRule>
    <cfRule type="expression" dxfId="36" priority="13">
      <formula>OHZ_STATUS="VALID"</formula>
    </cfRule>
    <cfRule type="expression" dxfId="35" priority="14">
      <formula>OHZ_STATUS="Invalid"</formula>
    </cfRule>
  </conditionalFormatting>
  <conditionalFormatting sqref="AA14:AA263">
    <cfRule type="expression" dxfId="34" priority="612">
      <formula>$Z14="TEU"</formula>
    </cfRule>
  </conditionalFormatting>
  <conditionalFormatting sqref="T14:T263 Q14:Q263 X14:Y263">
    <cfRule type="expression" dxfId="33" priority="616">
      <formula>$J14="IMDG"</formula>
    </cfRule>
  </conditionalFormatting>
  <conditionalFormatting sqref="M14:M263">
    <cfRule type="expression" dxfId="32" priority="619">
      <formula>OR($J14="IMDG",$J14="IBC",$J14="IMSBC",$J14="BC")</formula>
    </cfRule>
  </conditionalFormatting>
  <conditionalFormatting sqref="L14:L263">
    <cfRule type="expression" dxfId="31" priority="620">
      <formula>OR($J14="IMDG", $J14="BC", $J14="IMSBC")</formula>
    </cfRule>
  </conditionalFormatting>
  <conditionalFormatting sqref="S14:S263">
    <cfRule type="expression" dxfId="30" priority="621">
      <formula>OR($J14="IMDG", $J14="IBC")</formula>
    </cfRule>
  </conditionalFormatting>
  <conditionalFormatting sqref="R14:R263">
    <cfRule type="expression" dxfId="29" priority="622">
      <formula>OR($J14="IMDG",$J14="IBC",$J14="MARPOL_ANNEX_1")</formula>
    </cfRule>
  </conditionalFormatting>
  <conditionalFormatting sqref="I13:K13 N13:P13">
    <cfRule type="expression" dxfId="28" priority="8">
      <formula>OHZ_DET_HAZONBOARD="Yes"</formula>
    </cfRule>
  </conditionalFormatting>
  <conditionalFormatting sqref="C13">
    <cfRule type="expression" dxfId="27" priority="6">
      <formula>OHZ_DET_HAZONBOARD="Yes"</formula>
    </cfRule>
  </conditionalFormatting>
  <conditionalFormatting sqref="I7">
    <cfRule type="expression" dxfId="26" priority="5">
      <formula xml:space="preserve"> OR( OHZ_CON_FIRSTNAME&lt;&gt;"", OHZ_CON_LASTNAME&lt;&gt;"", OHZ_CON_LOCODE&lt;&gt;"", OHZ_CON_PHONE&lt;&gt;"", OHZ_CON_FAX&lt;&gt;"", OHZ_CON_EMAIL&lt;&gt;"", )</formula>
    </cfRule>
  </conditionalFormatting>
  <conditionalFormatting sqref="D14:E263 G14:G263">
    <cfRule type="expression" dxfId="25" priority="4">
      <formula>AND($C13&lt;&gt;$C14)</formula>
    </cfRule>
  </conditionalFormatting>
  <conditionalFormatting sqref="J14:L263 V14:W263 N14:P263">
    <cfRule type="expression" dxfId="24" priority="3">
      <formula>OR($C13&lt;&gt;$C14,$I13&lt;&gt;$I14)</formula>
    </cfRule>
  </conditionalFormatting>
  <conditionalFormatting sqref="AC6">
    <cfRule type="containsErrors" dxfId="23" priority="2">
      <formula>ISERROR(AC6)</formula>
    </cfRule>
  </conditionalFormatting>
  <dataValidations xWindow="299" yWindow="575" count="41">
    <dataValidation type="list" allowBlank="1" showInputMessage="1" showErrorMessage="1" error="Select from dropdown" promptTitle="INF ship class" prompt="Code for the license of the vessel according to the INF Code (Code for the Safe Carriage of Irradiated Nuclear Fuel, Plutonium and High-level Radioactive Wastes in Flasks on board Ships)_x000a__x000a_Choose from dropdown menu" sqref="D7" xr:uid="{00000000-0002-0000-0500-000000000000}">
      <formula1>INF_ship_classes</formula1>
    </dataValidation>
    <dataValidation allowBlank="1" error="Port name is not recognised" sqref="G10" xr:uid="{00000000-0002-0000-0500-000001000000}"/>
    <dataValidation type="whole" allowBlank="1" showInputMessage="1" showErrorMessage="1" errorTitle="Invalid Input" error="Must be a number between 1 and 999" promptTitle="Consignment ID" prompt="Links DPG items and transport units to relevant consignments. If all DPG items are related to the same consignment, use &quot;1&quot; for all rows. If there are more than one consignment, increment this number_x000a__x000a_Must be a number between 1 and 999" sqref="C14:C263" xr:uid="{00000000-0002-0000-0500-000002000000}">
      <formula1>1</formula1>
      <formula2>999</formula2>
    </dataValidation>
    <dataValidation type="textLength" operator="equal" allowBlank="1" showDropDown="1" showInputMessage="1" showErrorMessage="1" errorTitle="Error" error="Invalid LOCODE, must be 5 characters." promptTitle="Port of discharge LOCODE" prompt="LOCODE of port where Hazmat consignment will be discharged from vessel_x000a__x000a_Use the LOCODE lookup to find the correct code_x000a__x000a_Must be valid LOCODE" sqref="G14:G263" xr:uid="{00000000-0002-0000-0500-000003000000}">
      <formula1>5</formula1>
    </dataValidation>
    <dataValidation type="list" allowBlank="1" showInputMessage="1" showErrorMessage="1" errorTitle="Invalid Input" error="Select from dropdown" promptTitle="TEU type" prompt="Select TEU or Non-TEU unit_x000a__x000a_Leave blank for no container_x000a__x000a_Choose from dropdown menu" sqref="Z14:Z263" xr:uid="{00000000-0002-0000-0500-000004000000}">
      <formula1>"TEU,Non-TEU"</formula1>
    </dataValidation>
    <dataValidation type="textLength" allowBlank="1" showInputMessage="1" showErrorMessage="1" errorTitle="Invalid Input" error="Max 25 characters." promptTitle="Location on board" prompt="Stowage position on board_x000a__x000a_Max 25 characters" sqref="AB14:AB263" xr:uid="{00000000-0002-0000-0500-000005000000}">
      <formula1>0</formula1>
      <formula2>25</formula2>
    </dataValidation>
    <dataValidation type="textLength" allowBlank="1" showInputMessage="1" showErrorMessage="1" errorTitle="Invalid Input" error="Max 17 characters." promptTitle="TEU Id" prompt="Identification number of cargo transport unit (if no tanks). For containers, this shall be the identification code as defined in ISO 6346 (limited to goods under IMDG code)_x000a__x000a_Mandatory for TEUs_x000a__x000a_Max 17 characters" sqref="AA14:AA263" xr:uid="{00000000-0002-0000-0500-000006000000}">
      <formula1>1</formula1>
      <formula2>17</formula2>
    </dataValidation>
    <dataValidation type="whole" allowBlank="1" showInputMessage="1" showErrorMessage="1" errorTitle="Invalid Input" error="Must be whole number less than 1,000,000,000" promptTitle="Package count" prompt="This is the number of packages covered by this cargo item in_x000a_a specific location on board or in a cargo unit_x000a__x000a_Must be whole number less than 1000,000,000" sqref="AC14:AC263" xr:uid="{00000000-0002-0000-0500-000007000000}">
      <formula1>0</formula1>
      <formula2>999999999</formula2>
    </dataValidation>
    <dataValidation type="list" allowBlank="1" showInputMessage="1" showErrorMessage="1" errorTitle="Invalid Input" error="Select from dropdown" promptTitle="Net/Gross" prompt="Whether the reported amount is net or gross_x000a__x000a_Choose from dropdown menu" sqref="AE14:AE263 O14:O263" xr:uid="{00000000-0002-0000-0500-000008000000}">
      <formula1>"Net, Gross"</formula1>
    </dataValidation>
    <dataValidation type="textLength" allowBlank="1" showInputMessage="1" showErrorMessage="1" errorTitle="Invalid Input" error="Maximum 255 characters." promptTitle="Additional info" prompt="Any additional information regarding dangerous and_x000a_polluting goods on board_x000a__x000a_Maximum 255 characters" sqref="W14:W263" xr:uid="{00000000-0002-0000-0500-000009000000}">
      <formula1>1</formula1>
      <formula2>255</formula2>
    </dataValidation>
    <dataValidation type="whole" allowBlank="1" showInputMessage="1" showErrorMessage="1" errorTitle="Invalid Input" error="Must be a positive whole number between 0 and 999999999" promptTitle="Total packages" prompt="The total number of packages on all cargo units_x000a_covered by this cargo item_x000a__x000a_Must be a positive whole number between 0 and 999999999" sqref="V14:V263" xr:uid="{00000000-0002-0000-0500-00000A000000}">
      <formula1>0</formula1>
      <formula2>999999999</formula2>
    </dataValidation>
    <dataValidation type="textLength" operator="lessThanOrEqual" allowBlank="1" showInputMessage="1" showErrorMessage="1" errorTitle="Invalid Input" error="Must be less than 350 characters" promptTitle="Textual Reference" prompt="This is the proper shipping name, completed with the_x000a_technical name where appropriate_x000a__x000a_Maximum 350 characters" sqref="K14:K263" xr:uid="{00000000-0002-0000-0500-00000B000000}">
      <formula1>350</formula1>
    </dataValidation>
    <dataValidation type="textLength" operator="equal" allowBlank="1" showInputMessage="1" showErrorMessage="1" errorTitle="Error" error=" Must be 4 characters." promptTitle="UN number" prompt="UN number of DPG item_x000a__x000a_Must be 4 characters" sqref="M14:M263" xr:uid="{00000000-0002-0000-0500-00000C000000}">
      <formula1>4</formula1>
    </dataValidation>
    <dataValidation allowBlank="1" showInputMessage="1" showErrorMessage="1" promptTitle="Package code" prompt="Choose package type to display the correct package code" sqref="U14:U263" xr:uid="{00000000-0002-0000-0500-00000D000000}"/>
    <dataValidation type="list" allowBlank="1" showInputMessage="1" showErrorMessage="1" errorTitle="Invalid Input" error="Select from dropdown" promptTitle="Package type" prompt="Description of the outer package of the cargo item_x000a__x000a_Choose from dropdown menu" sqref="T14:T263" xr:uid="{00000000-0002-0000-0500-00000E000000}">
      <formula1>Package_type_name</formula1>
    </dataValidation>
    <dataValidation type="list" allowBlank="1" showInputMessage="1" showErrorMessage="1" errorTitle="Invalid Input" error="Select from dropdown" promptTitle="Marpol code" prompt="The MARPOL code for the DPG item as defined in MARPOL Annex II_x000a__x000a_Choose from dropdown menu" sqref="S14:S263" xr:uid="{00000000-0002-0000-0500-00000F000000}">
      <formula1>MARPOL_codes</formula1>
    </dataValidation>
    <dataValidation type="list" allowBlank="1" showInputMessage="1" showErrorMessage="1" errorTitle="Invalid Input" error="Select from dropdown" promptTitle="Total amount unit" prompt="Unit of measurement for amount_x000a__x000a_Choose from dropdown menu" sqref="AF14:AF263" xr:uid="{00000000-0002-0000-0500-000010000000}">
      <formula1>Units_description</formula1>
    </dataValidation>
    <dataValidation type="textLength" operator="equal" allowBlank="1" showDropDown="1" showInputMessage="1" showErrorMessage="1" errorTitle="Error" error="Invalid LOCODE, must be 5 characters." promptTitle="Port of loading LOCODE" prompt="LOCODE of port where Hazmat consignment was loaded onto vessel_x000a__x000a_Use the LOCODE lookup to find the correct code_x000a__x000a_Must be valid LOCODE" sqref="E14:E263" xr:uid="{00000000-0002-0000-0500-000011000000}">
      <formula1>5</formula1>
    </dataValidation>
    <dataValidation type="custom" allowBlank="1" showInputMessage="1" showErrorMessage="1" errorTitle="Invalid Input" error="Must be a number less than 9999999999999 with a maximum of 3 decimal places" promptTitle="Amount" prompt="Indicate quanity of goods in transport unit_x000a__x000a_Must be a positive number, 9,999,999,999,999 or less, with a maximum of 3 decimal places" sqref="AD14:AD263" xr:uid="{00000000-0002-0000-0500-000012000000}">
      <formula1>IF(OR(ISBLANK(AD14),AND(ISNUMBER(AD14),LEN(AD14)-(IF(ISNUMBER(SEARCH(".",AD14)),SEARCH(".",AD14),LEN(AD14)))&lt;=3,AD14&lt;=9999999999999)),TRUE(),FALSE())</formula1>
    </dataValidation>
    <dataValidation type="whole" allowBlank="1" showInputMessage="1" showErrorMessage="1" errorTitle="Invalid Input" error="Must be a number between 1 and 999" promptTitle="DPG item reference number" prompt="This field links DPG items to relevant transport units_x000a__x000a_An DPG item can consist of 0 or more transport units (TEU and/or non-TEUs)_x000a__x000a_Must be a number between 1 and 999" sqref="I14:I263" xr:uid="{00000000-0002-0000-0500-000013000000}">
      <formula1>1</formula1>
      <formula2>999</formula2>
    </dataValidation>
    <dataValidation type="textLength" allowBlank="1" showInputMessage="1" showErrorMessage="1" errorTitle="Invalid input" error="Must be 7 characters or less" promptTitle="IMO Hazard class" prompt="IMO Hazard class (IMDG-IBC-IGC-IMSBC codes) of DPG item_x000a__x000a_Max 7 characters" sqref="L14:L263" xr:uid="{00000000-0002-0000-0500-000014000000}">
      <formula1>1</formula1>
      <formula2>7</formula2>
    </dataValidation>
    <dataValidation type="list" allowBlank="1" showInputMessage="1" showErrorMessage="1" errorTitle="Invalid Input" error="Must be number, max 3 decimal places." promptTitle="Total amount unit" prompt="Unit of measurement for Total DPG amount_x000a__x000a_Choose from dropdown menu" sqref="P14:P263" xr:uid="{00000000-0002-0000-0500-000015000000}">
      <formula1>Units_description</formula1>
    </dataValidation>
    <dataValidation type="custom" allowBlank="1" showInputMessage="1" showErrorMessage="1" errorTitle="Invalid Input" error="Up to 2 EMS numbers separated by comma. Each number cannot be longer than 50 characters." promptTitle="EMS number(s)" prompt="Up to 2 EMS numbers separated by comma_x000a__x000a_Each number cannot be longer than 50 characters" sqref="X14:X263" xr:uid="{00000000-0002-0000-0500-000017000000}">
      <formula1>OR(ISBLANK(X14),AND(LEN(X14)&lt;=101,LEN(X14)-LEN(SUBSTITUTE(X14,",",""))&lt;2,LEN(LEFT(X14,IF(ISNUMBER(SEARCH(",",X14)),SEARCH(",",X14)-1,LEN(X14))))&lt;=50,(LEN(X14)-1)-LEN(LEFT(X14,IF(ISNUMBER(SEARCH(",",X14)),SEARCH(",",X14)-1,LEN(X14))))&lt;=50))</formula1>
    </dataValidation>
    <dataValidation type="textLength" allowBlank="1" showInputMessage="1" showErrorMessage="1" error="Max 50 characters" promptTitle="First name" prompt="The first name of the cargo contact person_x000a__x000a_Max 50 characters" sqref="G7:H7" xr:uid="{00000000-0002-0000-0500-000018000000}">
      <formula1>0</formula1>
      <formula2>50</formula2>
    </dataValidation>
    <dataValidation type="textLength" allowBlank="1" showInputMessage="1" showErrorMessage="1" error="Max 50 characters." promptTitle="Last name" prompt="The last name of the cargo contact person_x000a__x000a_Max 50 characters" sqref="G8:H8" xr:uid="{00000000-0002-0000-0500-000019000000}">
      <formula1>0</formula1>
      <formula2>50</formula2>
    </dataValidation>
    <dataValidation type="custom" allowBlank="1" showInputMessage="1" showErrorMessage="1" errorTitle="Invalid Input" error="Up to five risks of max 17 characters in length, separated by commas." promptTitle="Subsidiary risk(s)" prompt="Subsidiary risk(s) of the DPG items_x000a__x000a_Up to five risks of max 17 characters in length. Each risk must be separated by a comma" sqref="Y14:Y263" xr:uid="{00000000-0002-0000-0500-00001A000000}">
      <formula1>OR(ISBLANK(Y14),AND(LEN(Y14)&lt;=89,LEN(Y14)-LEN(SUBSTITUTE(Y14,",",""))&lt;5))</formula1>
    </dataValidation>
    <dataValidation type="custom" showInputMessage="1" showErrorMessage="1" error="Must contain an &quot;@&quot;, can not contain spaces and must be less than 50 characters." promptTitle="Email" prompt="The email of the cargo contact person_x000a__x000a_Must contain an &quot;@&quot;, can not contain spaces and must be less than 50 characters" sqref="J9" xr:uid="{00000000-0002-0000-0500-00001C000000}">
      <formula1>IF(OR(ISBLANK(INDEX(OHZ_CON_EMAIL,1,1)),AND(NOT(ISERROR(SEARCH("@",INDEX(OHZ_CON_EMAIL,1,1)))),ISERROR(SEARCH(" ",INDEX(OHZ_CON_EMAIL,1,1))),LEN(INDEX(OHZ_CON_EMAIL,1,1))&lt;=50)),TRUE(),FALSE())</formula1>
    </dataValidation>
    <dataValidation type="list" allowBlank="1" showInputMessage="1" showErrorMessage="1" error="Select 'Yes' or 'No' from the dropdown" promptTitle="Hazmat on board" prompt="Whether the vessel has any Hazmat on board_x000a__x000a_Choose 'Yes' or 'No' from dropdown menu" sqref="D6" xr:uid="{00000000-0002-0000-0500-00001D000000}">
      <formula1>REF_YES_NO</formula1>
    </dataValidation>
    <dataValidation type="custom" operator="equal" allowBlank="1" showDropDown="1" showInputMessage="1" showErrorMessage="1" errorTitle="Error" error="Invalid LOCODE: must be 5 characters of letters and numbers with no spaces" promptTitle="Port LOCODE" prompt="The LOCODE for the port of the cargo contact person_x000a__x000a_Use the LOCODE lookup to find the correct code_x000a__x000a_Must be valid LOCODE" sqref="G9:H9" xr:uid="{00000000-0002-0000-0500-00001E000000}">
      <formula1>IFERROR(AND(SUMPRODUCT(SEARCH(MID(G9,ROW(INDIRECT("1:"&amp;LEN(G9))),1),"abcdefghijklmnopqrstuvwxyz0123456789")),LEN(G9)=5),FALSE)</formula1>
    </dataValidation>
    <dataValidation type="list" allowBlank="1" showInputMessage="1" showErrorMessage="1" promptTitle="Cargo manifest document type" prompt="The document type of the cargo manifest_x000a__x000a_Must be provided if Manifest URL is provided _x000a__x000a_Choose from dropdown menu" sqref="N8" xr:uid="{00000000-0002-0000-0500-000020000000}">
      <formula1>REF_DOCTYPES</formula1>
    </dataValidation>
    <dataValidation type="textLength" allowBlank="1" showInputMessage="1" showErrorMessage="1" errorTitle="Invalid Input" error="Max 35 characters." promptTitle="Transport document ID" prompt="ID for the consignment transport document, e.g., Bill of Lading, identity code_x000a__x000a_Max 35 characters" sqref="D14:D263" xr:uid="{00000000-0002-0000-0500-000021000000}">
      <formula1>1</formula1>
      <formula2>35</formula2>
    </dataValidation>
    <dataValidation type="list" allowBlank="1" showInputMessage="1" showErrorMessage="1" errorTitle="Invalid Input" error="Select from dropdown." promptTitle="Dangerous goods classification" prompt="The dangerous goods classification of the DPG item_x000a__x000a_Choose from dropdown menu" sqref="J19:J263" xr:uid="{00000000-0002-0000-0500-000022000000}">
      <formula1>REF_DG_CLASSIFICATION</formula1>
    </dataValidation>
    <dataValidation type="list" allowBlank="1" showInputMessage="1" showErrorMessage="1" errorTitle="Invalid Input" error="Select from dropdown" promptTitle="Packing group" prompt="The packing group code as defined in the IMDG_x000a__x000a_Choose from dropdown menu" sqref="Q14:Q263" xr:uid="{00000000-0002-0000-0500-000023000000}">
      <formula1>REF_PACKING_GROUP</formula1>
    </dataValidation>
    <dataValidation allowBlank="1" showInputMessage="1" showErrorMessage="1" promptTitle="Port of loading name" prompt="The name of the port at which the consignment was loaded _x000a__x000a_This field is automatically generated from the 'Port of loading LOCODE' field_x000a_" sqref="F14:F263" xr:uid="{00000000-0002-0000-0500-000024000000}"/>
    <dataValidation allowBlank="1" showInputMessage="1" showErrorMessage="1" promptTitle="Port of discharge name" prompt="The name of the port at which Consignment will be discharged _x000a__x000a_This field is automatically generated from the 'Port of discharge LOCODE' field_x000a_" sqref="H14:H263" xr:uid="{00000000-0002-0000-0500-000025000000}"/>
    <dataValidation type="list" allowBlank="1" showInputMessage="1" showErrorMessage="1" error="Select from dropdown" promptTitle="Dangerous goods classification" prompt="The dangerous goods classification of the DPG item_x000a__x000a_Choose from dropdown menu" sqref="J14:J18" xr:uid="{00000000-0002-0000-0500-000026000000}">
      <formula1>REF_DG_CLASSIFICATION</formula1>
    </dataValidation>
    <dataValidation type="custom" allowBlank="1" showInputMessage="1" showErrorMessage="1" errorTitle="Invalid input" error="Must be a number between -9999999999 and 9999999999 with a maximum of 3 decimal places" promptTitle="Flash point" prompt="The temperature in degrees Celsius at which a liquid will give_x000a_off enough flammable vapour to be ignited_x000a__x000a_Must be a number between -9999999999 and 9999999999 with a maximum of 3 decimal places" sqref="R14:R263" xr:uid="{00000000-0002-0000-0500-000027000000}">
      <formula1>IF(OR(ISBLANK(R14),AND(ISNUMBER(R14),LEN(R14)-(IF(ISNUMBER(SEARCH(".",R14)),SEARCH(".",R14),LEN(R14)))&lt;=3,R14&lt;=9999999999,R14&gt;=-9999999999)),TRUE(),FALSE())</formula1>
    </dataValidation>
    <dataValidation type="custom" showInputMessage="1" showErrorMessage="1" error="Must be valid, more than 19 characters, less than 256 characters, start with &quot;https://&quot; and contain a ." promptTitle="Cargo manifest URL" prompt="The URL of the cargo manifest_x000a__x000a_Must be provided if Doc type is provided_x000a__x000a_Must be valid, more than 19 characters, less than 256 characters and start with https://" sqref="N7:S7" xr:uid="{00000000-0002-0000-0500-000028000000}">
      <formula1>AND(LEFT(INDEX(OHZ_DET_URL,1,1),8)="https://",ISNUMBER(SEARCH(".",INDEX(OHZ_DET_URL,1,1))),LEN(INDEX(OHZ_DET_URL,1,1))&lt;256,LEN(INDEX(OHZ_DET_URL,1,1))&gt;19)</formula1>
    </dataValidation>
    <dataValidation type="custom" allowBlank="1" showInputMessage="1" showErrorMessage="1" errorTitle="Invalid Input" error="Number less than 9,999,999,999,999, max 3 decimal places." promptTitle="Total amount" prompt="Enter quanity of the DPG item on board_x000a__x000a_Must be a positive number, 9,999,999,999,999 or less, with a maximum of 3 decimal places" sqref="N14:N263" xr:uid="{0AE11C47-10C0-4F24-B309-0C24D905355A}">
      <formula1>IF(OR(ISBLANK(N14),AND(ISNUMBER(N14),LEN(N14)-(IF(ISNUMBER(SEARCH(".",N14)),SEARCH(".",N14),LEN(N14)))&lt;=3,N14&lt;=9999999999999)),TRUE(),FALSE())</formula1>
    </dataValidation>
    <dataValidation type="custom" allowBlank="1" showInputMessage="1" showErrorMessage="1" error="Max 16 characters. Only numerals (0-9) and (&quot;+&quot;) are allowed" promptTitle="Phone" prompt="The Phone number of the cargo contact person_x000a__x000a_Include country code_x000a__x000a_Max 16 characters. Only numerals (0-9) and (&quot;+&quot;) are allowed" sqref="J7:K7" xr:uid="{393B4548-D05C-4D59-B3E8-2FE201F1F508}">
      <formula1>AND(ISNUMBER(SUMPRODUCT(SEARCH(MID(INDEX(OHZ_CON_PHONE,1,1),ROW(INDIRECT("1:"&amp;LEN(INDEX(OHZ_CON_PHONE,1,1)))),1),"0123456789+"))),LEN(INDEX(OHZ_CON_PHONE,1,1))&lt;=16)</formula1>
    </dataValidation>
    <dataValidation type="custom" allowBlank="1" showInputMessage="1" showErrorMessage="1" error="Max 16 characters. Only numerals (0-9) and (&quot;+&quot;) are allowed" promptTitle="Fax" prompt="The Fax of the cargo contact person _x000a__x000a_Include country code_x000a__x000a_Max 16 characters. Only numerals (0-9) and (&quot;+&quot;) are allowed" sqref="J8:K8" xr:uid="{1177BB15-CDFD-4B51-BEBD-286E794D2C2F}">
      <formula1>AND(ISNUMBER(SUMPRODUCT(SEARCH(MID(OHZ_CON_FAX,ROW(INDIRECT("1:"&amp;LEN(OHZ_CON_FAX))),1),"0123456789+"))),LEN(OHZ_CON_FAX)&lt;=16)</formula1>
    </dataValidation>
  </dataValidations>
  <pageMargins left="0.23622047244094488" right="0.23622047244094488" top="0.39370078740157483" bottom="0.39370078740157483" header="0.31496062992125984" footer="0.31496062992125984"/>
  <pageSetup paperSize="9" scale="43"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00B0F0"/>
    <pageSetUpPr fitToPage="1"/>
  </sheetPr>
  <dimension ref="A1:AD73"/>
  <sheetViews>
    <sheetView zoomScale="90" zoomScaleNormal="90" workbookViewId="0">
      <pane ySplit="3" topLeftCell="A4" activePane="bottomLeft" state="frozen"/>
      <selection pane="bottomLeft" activeCell="L6" sqref="L6:N6"/>
    </sheetView>
  </sheetViews>
  <sheetFormatPr defaultColWidth="9.1796875" defaultRowHeight="12.5" x14ac:dyDescent="0.25"/>
  <cols>
    <col min="1" max="1" width="2.453125" style="2" customWidth="1"/>
    <col min="2" max="2" width="10" style="3" customWidth="1"/>
    <col min="3" max="4" width="10.81640625" style="84" customWidth="1"/>
    <col min="5" max="5" width="10.7265625" style="3" customWidth="1"/>
    <col min="6" max="6" width="11" style="84" customWidth="1"/>
    <col min="7" max="7" width="8.81640625" style="84" customWidth="1"/>
    <col min="8" max="8" width="1.26953125" style="84" customWidth="1"/>
    <col min="9" max="9" width="5.7265625" style="3" customWidth="1"/>
    <col min="10" max="10" width="5" style="84" customWidth="1"/>
    <col min="11" max="11" width="6.81640625" style="84" customWidth="1"/>
    <col min="12" max="12" width="9" style="84" customWidth="1"/>
    <col min="13" max="13" width="9.7265625" style="3" customWidth="1"/>
    <col min="14" max="14" width="5.81640625" style="84" customWidth="1"/>
    <col min="15" max="15" width="1.26953125" style="3" customWidth="1"/>
    <col min="16" max="16" width="13" style="84" customWidth="1"/>
    <col min="17" max="17" width="7.54296875" style="84" customWidth="1"/>
    <col min="18" max="18" width="20.81640625" style="3" customWidth="1"/>
    <col min="19" max="19" width="23.1796875" style="84" customWidth="1"/>
    <col min="20" max="20" width="1.26953125" style="84" customWidth="1"/>
    <col min="21" max="21" width="21.81640625" style="84" customWidth="1"/>
    <col min="22" max="22" width="18" style="3" customWidth="1"/>
    <col min="23" max="23" width="9.453125" style="3" customWidth="1"/>
    <col min="24" max="24" width="18.54296875" style="84" customWidth="1"/>
    <col min="25" max="25" width="9.453125" style="2" customWidth="1"/>
    <col min="26" max="26" width="18.54296875" style="2" customWidth="1"/>
    <col min="27" max="16384" width="9.1796875" style="2"/>
  </cols>
  <sheetData>
    <row r="1" spans="1:30" s="34" customFormat="1" ht="4.5" customHeight="1" x14ac:dyDescent="0.25"/>
    <row r="2" spans="1:30" s="77" customFormat="1" ht="20" x14ac:dyDescent="0.25">
      <c r="A2" s="74"/>
      <c r="B2" s="75" t="s">
        <v>2</v>
      </c>
      <c r="C2" s="75"/>
      <c r="D2" s="75"/>
      <c r="E2" s="76"/>
      <c r="F2" s="76"/>
      <c r="G2" s="76"/>
      <c r="H2" s="76"/>
      <c r="I2" s="76"/>
      <c r="J2" s="76"/>
      <c r="K2" s="256" t="s">
        <v>1498</v>
      </c>
      <c r="L2" s="928" t="str">
        <f>SEC_STATUS</f>
        <v>Empty</v>
      </c>
      <c r="M2" s="928"/>
      <c r="N2" s="258" t="str">
        <f>IFERROR(SEC_VALID_RES,"")</f>
        <v xml:space="preserve">‘Current security level’ is required </v>
      </c>
      <c r="O2" s="76"/>
      <c r="P2" s="76"/>
      <c r="Q2" s="76"/>
      <c r="R2" s="76"/>
      <c r="S2" s="76"/>
      <c r="T2" s="76"/>
      <c r="U2" s="76"/>
      <c r="V2" s="76"/>
      <c r="W2" s="76"/>
      <c r="X2" s="76"/>
      <c r="Y2" s="76"/>
      <c r="Z2" s="76"/>
      <c r="AA2" s="76"/>
      <c r="AB2" s="76"/>
      <c r="AC2" s="76"/>
      <c r="AD2" s="76"/>
    </row>
    <row r="3" spans="1:30" s="77" customFormat="1" ht="4.5" customHeight="1" x14ac:dyDescent="0.3">
      <c r="B3" s="254"/>
      <c r="C3" s="254"/>
      <c r="D3" s="254"/>
      <c r="E3" s="254"/>
      <c r="F3" s="254"/>
      <c r="G3" s="254"/>
      <c r="H3" s="254"/>
      <c r="I3" s="254"/>
      <c r="J3" s="254"/>
      <c r="K3" s="254"/>
      <c r="L3" s="254"/>
      <c r="M3" s="254"/>
      <c r="N3" s="254"/>
      <c r="O3" s="254"/>
      <c r="P3" s="254"/>
      <c r="Q3" s="254"/>
      <c r="R3" s="265"/>
      <c r="S3" s="265"/>
      <c r="T3" s="265"/>
      <c r="U3" s="265"/>
      <c r="V3" s="266"/>
      <c r="W3" s="267"/>
      <c r="X3" s="267"/>
    </row>
    <row r="4" spans="1:30" s="251" customFormat="1" ht="12.75" customHeight="1" thickBot="1" x14ac:dyDescent="0.35">
      <c r="B4" s="164"/>
      <c r="C4" s="164"/>
      <c r="D4" s="164"/>
      <c r="E4" s="164"/>
      <c r="F4" s="164"/>
      <c r="G4" s="164"/>
      <c r="H4" s="164"/>
      <c r="I4" s="164"/>
      <c r="J4" s="164"/>
      <c r="K4" s="164"/>
      <c r="L4" s="164"/>
      <c r="M4" s="164"/>
      <c r="N4" s="164"/>
      <c r="O4" s="164"/>
      <c r="P4" s="164"/>
      <c r="Q4" s="164"/>
      <c r="R4" s="4"/>
      <c r="S4" s="4"/>
      <c r="T4" s="4"/>
      <c r="U4" s="4"/>
      <c r="V4" s="10"/>
      <c r="W4" s="12"/>
      <c r="X4" s="12"/>
    </row>
    <row r="5" spans="1:30" ht="21" customHeight="1" thickTop="1" x14ac:dyDescent="0.25">
      <c r="A5" s="36"/>
      <c r="B5" s="872" t="s">
        <v>1440</v>
      </c>
      <c r="C5" s="873"/>
      <c r="D5" s="873"/>
      <c r="E5" s="873"/>
      <c r="F5" s="117"/>
      <c r="G5" s="92"/>
      <c r="H5" s="134"/>
      <c r="I5" s="595" t="s">
        <v>1878</v>
      </c>
      <c r="J5" s="595"/>
      <c r="K5" s="595"/>
      <c r="L5" s="595"/>
      <c r="M5" s="595"/>
      <c r="N5" s="595"/>
      <c r="O5" s="84"/>
      <c r="P5" s="595" t="s">
        <v>1880</v>
      </c>
      <c r="Q5" s="595"/>
      <c r="R5" s="595"/>
      <c r="S5" s="595"/>
      <c r="U5" s="514"/>
      <c r="V5" s="514"/>
      <c r="W5" s="514"/>
      <c r="X5" s="514"/>
      <c r="Y5" s="514"/>
    </row>
    <row r="6" spans="1:30" ht="12.75" customHeight="1" x14ac:dyDescent="0.3">
      <c r="A6" s="36"/>
      <c r="B6" s="581" t="s">
        <v>1859</v>
      </c>
      <c r="C6" s="252" t="s">
        <v>1428</v>
      </c>
      <c r="D6" s="253"/>
      <c r="E6" s="866" t="str">
        <f>IF(OR(ISBLANK(VES_VID_IMO),ISERROR(VES_VID_IMO)),"",VES_VID_IMO)</f>
        <v/>
      </c>
      <c r="F6" s="867"/>
      <c r="G6" s="868"/>
      <c r="H6" s="135"/>
      <c r="I6" s="893" t="s">
        <v>63</v>
      </c>
      <c r="J6" s="894"/>
      <c r="K6" s="895"/>
      <c r="L6" s="887"/>
      <c r="M6" s="888"/>
      <c r="N6" s="889"/>
      <c r="O6" s="84"/>
      <c r="P6" s="113" t="s">
        <v>1418</v>
      </c>
      <c r="Q6" s="120"/>
      <c r="R6" s="114"/>
      <c r="S6" s="144" t="str">
        <f>IF(OR(ISBLANK(SUM_SRC_SOURCE),ISERROR(SUM_SRC_SOURCE)),"",SUM_SRC_SOURCE)</f>
        <v/>
      </c>
      <c r="U6" s="514"/>
      <c r="V6" s="514"/>
      <c r="W6" s="514"/>
      <c r="X6" s="514"/>
      <c r="Y6" s="514"/>
    </row>
    <row r="7" spans="1:30" ht="12.75" customHeight="1" x14ac:dyDescent="0.3">
      <c r="A7" s="36"/>
      <c r="B7" s="581"/>
      <c r="C7" s="245" t="s">
        <v>5</v>
      </c>
      <c r="D7" s="246"/>
      <c r="E7" s="863" t="str">
        <f>IF(OR(ISBLANK(VES_VID_SHIPNAME),ISERROR(VES_VID_SHIPNAME)),"",VES_VID_SHIPNAME)</f>
        <v/>
      </c>
      <c r="F7" s="864"/>
      <c r="G7" s="865"/>
      <c r="H7" s="135"/>
      <c r="I7" s="952" t="s">
        <v>64</v>
      </c>
      <c r="J7" s="953"/>
      <c r="K7" s="954"/>
      <c r="L7" s="880"/>
      <c r="M7" s="881"/>
      <c r="N7" s="882"/>
      <c r="O7" s="84"/>
      <c r="P7" s="115" t="s">
        <v>687</v>
      </c>
      <c r="Q7" s="129"/>
      <c r="R7" s="116"/>
      <c r="S7" s="145">
        <f ca="1">NOW()</f>
        <v>43609.342830208334</v>
      </c>
      <c r="U7" s="514"/>
      <c r="V7" s="514"/>
      <c r="W7" s="514"/>
      <c r="X7" s="514"/>
      <c r="Y7" s="514"/>
    </row>
    <row r="8" spans="1:30" ht="12.75" customHeight="1" x14ac:dyDescent="0.3">
      <c r="A8" s="36"/>
      <c r="B8" s="581"/>
      <c r="C8" s="245" t="s">
        <v>680</v>
      </c>
      <c r="D8" s="246"/>
      <c r="E8" s="863" t="str">
        <f>IF(OR(ISBLANK(VES_VID_CALLSIGN),ISERROR(VES_VID_CALLSIGN)),"",VES_VID_CALLSIGN)</f>
        <v/>
      </c>
      <c r="F8" s="864"/>
      <c r="G8" s="865"/>
      <c r="H8" s="135"/>
      <c r="I8" s="993" t="s">
        <v>1877</v>
      </c>
      <c r="J8" s="994"/>
      <c r="K8" s="246" t="s">
        <v>60</v>
      </c>
      <c r="L8" s="863"/>
      <c r="M8" s="864"/>
      <c r="N8" s="865"/>
      <c r="O8" s="84"/>
      <c r="P8" s="336" t="s">
        <v>59</v>
      </c>
      <c r="Q8" s="337"/>
      <c r="R8" s="338"/>
      <c r="S8" s="340"/>
      <c r="U8" s="514"/>
      <c r="V8" s="514"/>
      <c r="W8" s="514"/>
      <c r="X8" s="514"/>
      <c r="Y8" s="514"/>
    </row>
    <row r="9" spans="1:30" ht="12.75" customHeight="1" thickBot="1" x14ac:dyDescent="0.35">
      <c r="A9" s="36"/>
      <c r="B9" s="582"/>
      <c r="C9" s="245" t="s">
        <v>6</v>
      </c>
      <c r="D9" s="246"/>
      <c r="E9" s="880" t="str">
        <f>IF(OR(ISBLANK(VES_VID_MMSI),ISERROR(VES_VID_MMSI)),"",VES_VID_MMSI)</f>
        <v/>
      </c>
      <c r="F9" s="881"/>
      <c r="G9" s="882"/>
      <c r="H9" s="135"/>
      <c r="I9" s="995"/>
      <c r="J9" s="996"/>
      <c r="K9" s="246" t="s">
        <v>61</v>
      </c>
      <c r="L9" s="863"/>
      <c r="M9" s="864"/>
      <c r="N9" s="865"/>
      <c r="O9" s="84"/>
      <c r="P9" s="333" t="s">
        <v>692</v>
      </c>
      <c r="Q9" s="334"/>
      <c r="R9" s="335"/>
      <c r="S9" s="55"/>
      <c r="U9" s="514"/>
      <c r="V9" s="514"/>
      <c r="W9" s="514"/>
      <c r="X9" s="514"/>
      <c r="Y9" s="514"/>
    </row>
    <row r="10" spans="1:30" ht="12.75" customHeight="1" thickTop="1" thickBot="1" x14ac:dyDescent="0.35">
      <c r="A10" s="36"/>
      <c r="B10" s="247"/>
      <c r="C10" s="248" t="s">
        <v>45</v>
      </c>
      <c r="D10" s="249"/>
      <c r="E10" s="848" t="str">
        <f>IF(OR(ISBLANK(VES_VID_FLAG),ISERROR(VES_VID_FLAG)),"",VES_VID_FLAG)</f>
        <v/>
      </c>
      <c r="F10" s="849"/>
      <c r="G10" s="850"/>
      <c r="H10" s="135"/>
      <c r="I10" s="997"/>
      <c r="J10" s="998"/>
      <c r="K10" s="249" t="s">
        <v>11</v>
      </c>
      <c r="L10" s="883"/>
      <c r="M10" s="849"/>
      <c r="N10" s="850"/>
      <c r="O10" s="84"/>
      <c r="R10" s="84"/>
      <c r="U10" s="9"/>
      <c r="V10" s="31"/>
      <c r="W10" s="168"/>
      <c r="X10" s="168"/>
    </row>
    <row r="11" spans="1:30" ht="16.5" thickTop="1" thickBot="1" x14ac:dyDescent="0.3">
      <c r="A11" s="36"/>
      <c r="B11" s="170" t="s">
        <v>691</v>
      </c>
      <c r="C11" s="170"/>
      <c r="D11" s="170"/>
      <c r="E11" s="170"/>
      <c r="F11" s="170"/>
      <c r="G11" s="170"/>
      <c r="H11" s="102"/>
      <c r="I11" s="164"/>
      <c r="J11" s="164"/>
      <c r="K11" s="164"/>
      <c r="L11" s="164"/>
      <c r="M11" s="164"/>
      <c r="N11" s="164"/>
      <c r="O11" s="164"/>
      <c r="P11" s="164"/>
      <c r="Q11" s="164"/>
      <c r="R11" s="164"/>
      <c r="S11" s="164"/>
      <c r="U11" s="169"/>
      <c r="V11" s="168"/>
      <c r="W11" s="168"/>
      <c r="X11" s="168"/>
    </row>
    <row r="12" spans="1:30" ht="20.25" customHeight="1" thickTop="1" x14ac:dyDescent="0.25">
      <c r="A12" s="36"/>
      <c r="B12" s="872" t="s">
        <v>1441</v>
      </c>
      <c r="C12" s="873"/>
      <c r="D12" s="873"/>
      <c r="E12" s="873"/>
      <c r="F12" s="117"/>
      <c r="G12" s="95"/>
      <c r="H12" s="134"/>
      <c r="I12" s="595" t="s">
        <v>1879</v>
      </c>
      <c r="J12" s="595"/>
      <c r="K12" s="595"/>
      <c r="L12" s="595"/>
      <c r="M12" s="595"/>
      <c r="N12" s="595"/>
      <c r="O12" s="84"/>
      <c r="P12" s="595" t="s">
        <v>1883</v>
      </c>
      <c r="Q12" s="595"/>
      <c r="R12" s="595"/>
      <c r="S12" s="595"/>
      <c r="U12" s="978" t="s">
        <v>2030</v>
      </c>
      <c r="V12" s="978"/>
      <c r="W12" s="978"/>
      <c r="X12" s="978"/>
      <c r="Y12" s="35"/>
      <c r="Z12" s="35"/>
    </row>
    <row r="13" spans="1:30" ht="12.75" customHeight="1" x14ac:dyDescent="0.3">
      <c r="A13" s="36"/>
      <c r="B13" s="596" t="s">
        <v>51</v>
      </c>
      <c r="C13" s="841"/>
      <c r="D13" s="597"/>
      <c r="E13" s="887" t="str">
        <f>IF(OR(ISBLANK(VES_VDE_GROSSTONNA),ISERROR(VES_VDE_GROSSTONNA)),"",VES_VDE_GROSSTONNA)</f>
        <v/>
      </c>
      <c r="F13" s="888"/>
      <c r="G13" s="889"/>
      <c r="H13" s="135"/>
      <c r="I13" s="893" t="s">
        <v>44</v>
      </c>
      <c r="J13" s="894"/>
      <c r="K13" s="895"/>
      <c r="L13" s="887"/>
      <c r="M13" s="888"/>
      <c r="N13" s="889"/>
      <c r="O13" s="84"/>
      <c r="P13" s="213" t="s">
        <v>679</v>
      </c>
      <c r="Q13" s="214"/>
      <c r="R13" s="215"/>
      <c r="S13" s="143"/>
      <c r="U13" s="587" t="str">
        <f>IF(SUM_SRC_EMAIL&lt;&gt;"",SUM_SRC_EMAIL,"Please set voyage contact email on the summary tab")</f>
        <v>Please set voyage contact email on the summary tab</v>
      </c>
      <c r="V13" s="588"/>
      <c r="W13" s="588"/>
      <c r="X13" s="589"/>
      <c r="Y13" s="100"/>
      <c r="Z13" s="100"/>
    </row>
    <row r="14" spans="1:30" ht="12" customHeight="1" thickBot="1" x14ac:dyDescent="0.35">
      <c r="A14" s="36"/>
      <c r="B14" s="857" t="s">
        <v>52</v>
      </c>
      <c r="C14" s="858"/>
      <c r="D14" s="859"/>
      <c r="E14" s="880" t="str">
        <f>IF(OR(ISBLANK(VES_VDE_SHIPTYPE),ISERROR(VES_VDE_SHIPTYPE)),"",VES_VDE_SHIPTYPE)</f>
        <v/>
      </c>
      <c r="F14" s="881"/>
      <c r="G14" s="882"/>
      <c r="H14" s="135"/>
      <c r="I14" s="896" t="s">
        <v>60</v>
      </c>
      <c r="J14" s="897"/>
      <c r="K14" s="898"/>
      <c r="L14" s="863"/>
      <c r="M14" s="864"/>
      <c r="N14" s="865"/>
      <c r="O14" s="84"/>
      <c r="P14" s="210" t="s">
        <v>678</v>
      </c>
      <c r="Q14" s="211"/>
      <c r="R14" s="212"/>
      <c r="S14" s="339"/>
      <c r="U14" s="590"/>
      <c r="V14" s="591"/>
      <c r="W14" s="591"/>
      <c r="X14" s="592"/>
      <c r="Y14" s="35"/>
      <c r="Z14" s="35"/>
    </row>
    <row r="15" spans="1:30" s="216" customFormat="1" ht="12.75" customHeight="1" thickTop="1" x14ac:dyDescent="0.25">
      <c r="B15" s="899" t="s">
        <v>640</v>
      </c>
      <c r="C15" s="900"/>
      <c r="D15" s="901"/>
      <c r="E15" s="890" t="str">
        <f>IF(ISERROR(VLOOKUP(SEC_VDE_SHIPTYPE, REF_SHIP_TYPE_TABLE[], 2,FALSE)),"Select ship type from cell above...",VLOOKUP(SEC_VDE_SHIPTYPE, REF_SHIP_TYPE_TABLE[], 2,FALSE))</f>
        <v>Select ship type from cell above...</v>
      </c>
      <c r="F15" s="891"/>
      <c r="G15" s="892"/>
      <c r="H15" s="217"/>
      <c r="I15" s="899" t="s">
        <v>61</v>
      </c>
      <c r="J15" s="900"/>
      <c r="K15" s="901"/>
      <c r="L15" s="979"/>
      <c r="M15" s="980"/>
      <c r="N15" s="981"/>
      <c r="O15" s="218"/>
      <c r="P15" s="851" t="s">
        <v>50</v>
      </c>
      <c r="Q15" s="852"/>
      <c r="R15" s="852"/>
      <c r="S15" s="853"/>
      <c r="T15" s="218"/>
      <c r="U15" s="586" t="s">
        <v>2031</v>
      </c>
      <c r="V15" s="586"/>
      <c r="W15" s="586"/>
      <c r="X15" s="586"/>
      <c r="Y15" s="219"/>
      <c r="Z15" s="219"/>
    </row>
    <row r="16" spans="1:30" ht="15" customHeight="1" thickBot="1" x14ac:dyDescent="0.35">
      <c r="A16" s="36"/>
      <c r="B16" s="857" t="s">
        <v>1377</v>
      </c>
      <c r="C16" s="858"/>
      <c r="D16" s="859"/>
      <c r="E16" s="673"/>
      <c r="F16" s="674"/>
      <c r="G16" s="675"/>
      <c r="H16" s="135"/>
      <c r="I16" s="902" t="s">
        <v>11</v>
      </c>
      <c r="J16" s="903"/>
      <c r="K16" s="904"/>
      <c r="L16" s="848"/>
      <c r="M16" s="849"/>
      <c r="N16" s="850"/>
      <c r="O16" s="84"/>
      <c r="P16" s="874" t="str">
        <f>IF(OR(ISBLANK(VOY_VOY_BRIEFCARGO),ISERROR(VOY_VOY_BRIEFCARGO)),"",VOY_VOY_BRIEFCARGO)</f>
        <v/>
      </c>
      <c r="Q16" s="875"/>
      <c r="R16" s="875"/>
      <c r="S16" s="876"/>
      <c r="U16" s="610" t="s">
        <v>1444</v>
      </c>
      <c r="V16" s="610"/>
      <c r="W16" s="610"/>
      <c r="X16" s="610"/>
      <c r="Y16" s="35"/>
      <c r="Z16" s="35"/>
    </row>
    <row r="17" spans="2:24" s="36" customFormat="1" ht="12.75" customHeight="1" thickTop="1" x14ac:dyDescent="0.3">
      <c r="B17" s="857" t="s">
        <v>1378</v>
      </c>
      <c r="C17" s="858"/>
      <c r="D17" s="859"/>
      <c r="E17" s="880"/>
      <c r="F17" s="881"/>
      <c r="G17" s="882"/>
      <c r="H17" s="135"/>
      <c r="I17" s="946"/>
      <c r="J17" s="946"/>
      <c r="K17" s="946"/>
      <c r="L17" s="946"/>
      <c r="M17" s="946"/>
      <c r="N17" s="946"/>
      <c r="P17" s="874"/>
      <c r="Q17" s="875"/>
      <c r="R17" s="875"/>
      <c r="S17" s="876"/>
      <c r="U17" s="610"/>
      <c r="V17" s="610"/>
      <c r="W17" s="610"/>
      <c r="X17" s="610"/>
    </row>
    <row r="18" spans="2:24" s="36" customFormat="1" ht="12.75" customHeight="1" thickBot="1" x14ac:dyDescent="0.35">
      <c r="B18" s="598" t="s">
        <v>1384</v>
      </c>
      <c r="C18" s="992"/>
      <c r="D18" s="599"/>
      <c r="E18" s="884"/>
      <c r="F18" s="885"/>
      <c r="G18" s="886"/>
      <c r="H18" s="136"/>
      <c r="I18" s="947"/>
      <c r="J18" s="947"/>
      <c r="K18" s="947"/>
      <c r="L18" s="947"/>
      <c r="M18" s="947"/>
      <c r="N18" s="947"/>
      <c r="P18" s="877"/>
      <c r="Q18" s="878"/>
      <c r="R18" s="878"/>
      <c r="S18" s="879"/>
      <c r="U18" s="610"/>
      <c r="V18" s="610"/>
      <c r="W18" s="610"/>
      <c r="X18" s="610"/>
    </row>
    <row r="19" spans="2:24" s="36" customFormat="1" ht="6.75" customHeight="1" thickTop="1" thickBot="1" x14ac:dyDescent="0.3">
      <c r="H19" s="35"/>
      <c r="L19" s="764"/>
      <c r="M19" s="764"/>
      <c r="N19" s="764"/>
      <c r="S19" s="146"/>
      <c r="U19" s="610"/>
      <c r="V19" s="610"/>
      <c r="W19" s="610"/>
      <c r="X19" s="610"/>
    </row>
    <row r="20" spans="2:24" s="36" customFormat="1" ht="20.25" customHeight="1" thickTop="1" x14ac:dyDescent="0.25">
      <c r="B20" s="872" t="s">
        <v>1442</v>
      </c>
      <c r="C20" s="873"/>
      <c r="D20" s="873"/>
      <c r="E20" s="873"/>
      <c r="F20" s="117"/>
      <c r="G20" s="92"/>
      <c r="H20" s="134"/>
      <c r="I20" s="595" t="s">
        <v>1884</v>
      </c>
      <c r="J20" s="595"/>
      <c r="K20" s="595"/>
      <c r="L20" s="595"/>
      <c r="M20" s="595"/>
      <c r="N20" s="595"/>
      <c r="P20" s="595" t="s">
        <v>1416</v>
      </c>
      <c r="Q20" s="595"/>
      <c r="R20" s="595"/>
      <c r="S20" s="595"/>
      <c r="U20" s="610"/>
      <c r="V20" s="610"/>
      <c r="W20" s="610"/>
      <c r="X20" s="610"/>
    </row>
    <row r="21" spans="2:24" s="36" customFormat="1" ht="12.75" customHeight="1" x14ac:dyDescent="0.3">
      <c r="B21" s="596" t="s">
        <v>53</v>
      </c>
      <c r="C21" s="841"/>
      <c r="D21" s="597"/>
      <c r="E21" s="854" t="str">
        <f>IF(OR(ISBLANK(VES_REG_REGDATE),ISERROR(VES_REG_REGDATE)),"",VES_REG_REGDATE)</f>
        <v/>
      </c>
      <c r="F21" s="855"/>
      <c r="G21" s="856"/>
      <c r="H21" s="137"/>
      <c r="I21" s="596" t="s">
        <v>1881</v>
      </c>
      <c r="J21" s="841"/>
      <c r="K21" s="597"/>
      <c r="L21" s="866"/>
      <c r="M21" s="867"/>
      <c r="N21" s="868"/>
      <c r="P21" s="124" t="s">
        <v>1445</v>
      </c>
      <c r="Q21" s="139"/>
      <c r="R21" s="125"/>
      <c r="S21" s="143"/>
      <c r="U21" s="610"/>
      <c r="V21" s="610"/>
      <c r="W21" s="610"/>
      <c r="X21" s="610"/>
    </row>
    <row r="22" spans="2:24" s="36" customFormat="1" ht="12.75" customHeight="1" x14ac:dyDescent="0.3">
      <c r="B22" s="857" t="s">
        <v>54</v>
      </c>
      <c r="C22" s="858"/>
      <c r="D22" s="859"/>
      <c r="E22" s="863" t="str">
        <f>IF(OR(ISBLANK(VES_REG_REGNUMBER),ISERROR(VES_REG_REGNUMBER)),"",VES_REG_REGNUMBER)</f>
        <v/>
      </c>
      <c r="F22" s="864"/>
      <c r="G22" s="865"/>
      <c r="H22" s="136"/>
      <c r="I22" s="118" t="s">
        <v>672</v>
      </c>
      <c r="J22" s="119"/>
      <c r="K22" s="119"/>
      <c r="L22" s="863"/>
      <c r="M22" s="864"/>
      <c r="N22" s="865"/>
      <c r="P22" s="126" t="s">
        <v>1446</v>
      </c>
      <c r="Q22" s="127"/>
      <c r="R22" s="127"/>
      <c r="S22" s="128"/>
      <c r="U22" s="610"/>
      <c r="V22" s="610"/>
      <c r="W22" s="610"/>
      <c r="X22" s="610"/>
    </row>
    <row r="23" spans="2:24" s="36" customFormat="1" ht="12.75" customHeight="1" x14ac:dyDescent="0.3">
      <c r="B23" s="857" t="s">
        <v>12</v>
      </c>
      <c r="C23" s="858"/>
      <c r="D23" s="859"/>
      <c r="E23" s="863" t="str">
        <f>IF(OR(ISBLANK(VES_REG_REGCOMPNAM),ISERROR(VES_REG_REGCOMPNAM)),"",VES_REG_REGCOMPNAM)</f>
        <v/>
      </c>
      <c r="F23" s="864"/>
      <c r="G23" s="865"/>
      <c r="H23" s="136"/>
      <c r="I23" s="118" t="s">
        <v>62</v>
      </c>
      <c r="J23" s="119"/>
      <c r="K23" s="119"/>
      <c r="L23" s="863"/>
      <c r="M23" s="864"/>
      <c r="N23" s="865"/>
      <c r="P23" s="937"/>
      <c r="Q23" s="938"/>
      <c r="R23" s="938"/>
      <c r="S23" s="939"/>
      <c r="U23" s="610"/>
      <c r="V23" s="610"/>
      <c r="W23" s="610"/>
      <c r="X23" s="610"/>
    </row>
    <row r="24" spans="2:24" s="36" customFormat="1" ht="12.75" customHeight="1" thickBot="1" x14ac:dyDescent="0.35">
      <c r="B24" s="598" t="s">
        <v>1383</v>
      </c>
      <c r="C24" s="992"/>
      <c r="D24" s="599"/>
      <c r="E24" s="869" t="str">
        <f>IF(OR(ISBLANK(VES_REG_REGCOMPIMO),ISERROR(VES_REG_REGCOMPIMO)),"",VES_REG_REGCOMPIMO)</f>
        <v/>
      </c>
      <c r="F24" s="870"/>
      <c r="G24" s="871"/>
      <c r="H24" s="136"/>
      <c r="I24" s="842" t="s">
        <v>1886</v>
      </c>
      <c r="J24" s="843"/>
      <c r="K24" s="844"/>
      <c r="L24" s="948"/>
      <c r="M24" s="949"/>
      <c r="N24" s="950"/>
      <c r="P24" s="940"/>
      <c r="Q24" s="941"/>
      <c r="R24" s="941"/>
      <c r="S24" s="942"/>
      <c r="U24" s="610"/>
      <c r="V24" s="610"/>
      <c r="W24" s="610"/>
      <c r="X24" s="610"/>
    </row>
    <row r="25" spans="2:24" s="36" customFormat="1" ht="6.75" customHeight="1" thickTop="1" thickBot="1" x14ac:dyDescent="0.3">
      <c r="H25" s="35"/>
      <c r="I25" s="845"/>
      <c r="J25" s="846"/>
      <c r="K25" s="847"/>
      <c r="L25" s="948"/>
      <c r="M25" s="949"/>
      <c r="N25" s="950"/>
      <c r="O25" s="84"/>
      <c r="P25" s="943"/>
      <c r="Q25" s="944"/>
      <c r="R25" s="944"/>
      <c r="S25" s="945"/>
      <c r="U25" s="610"/>
      <c r="V25" s="610"/>
      <c r="W25" s="610"/>
      <c r="X25" s="610"/>
    </row>
    <row r="26" spans="2:24" s="36" customFormat="1" ht="12.75" customHeight="1" thickTop="1" thickBot="1" x14ac:dyDescent="0.35">
      <c r="B26" s="575" t="s">
        <v>1421</v>
      </c>
      <c r="C26" s="576"/>
      <c r="D26" s="576"/>
      <c r="E26" s="576"/>
      <c r="F26" s="576"/>
      <c r="G26" s="577"/>
      <c r="H26" s="134"/>
      <c r="I26" s="596" t="s">
        <v>1885</v>
      </c>
      <c r="J26" s="841"/>
      <c r="K26" s="597"/>
      <c r="L26" s="929"/>
      <c r="M26" s="930"/>
      <c r="N26" s="931"/>
      <c r="O26" s="84"/>
      <c r="U26" s="610"/>
      <c r="V26" s="610"/>
      <c r="W26" s="610"/>
      <c r="X26" s="610"/>
    </row>
    <row r="27" spans="2:24" s="36" customFormat="1" ht="12.75" customHeight="1" thickTop="1" thickBot="1" x14ac:dyDescent="0.35">
      <c r="B27" s="600"/>
      <c r="C27" s="713"/>
      <c r="D27" s="713"/>
      <c r="E27" s="713"/>
      <c r="F27" s="713"/>
      <c r="G27" s="601"/>
      <c r="H27" s="134"/>
      <c r="I27" s="274" t="s">
        <v>685</v>
      </c>
      <c r="J27" s="332"/>
      <c r="K27" s="332"/>
      <c r="L27" s="932"/>
      <c r="M27" s="933"/>
      <c r="N27" s="934"/>
      <c r="P27" s="595" t="s">
        <v>1247</v>
      </c>
      <c r="Q27" s="595"/>
      <c r="R27" s="595"/>
      <c r="S27" s="595"/>
      <c r="U27" s="610"/>
      <c r="V27" s="610"/>
      <c r="W27" s="610"/>
      <c r="X27" s="610"/>
    </row>
    <row r="28" spans="2:24" s="36" customFormat="1" ht="12.75" customHeight="1" thickTop="1" x14ac:dyDescent="0.3">
      <c r="B28" s="596" t="s">
        <v>1420</v>
      </c>
      <c r="C28" s="841"/>
      <c r="D28" s="841"/>
      <c r="E28" s="855"/>
      <c r="F28" s="855"/>
      <c r="G28" s="856"/>
      <c r="H28" s="137"/>
      <c r="I28" s="118" t="s">
        <v>1882</v>
      </c>
      <c r="J28" s="119"/>
      <c r="K28" s="119"/>
      <c r="L28" s="935"/>
      <c r="M28" s="935"/>
      <c r="N28" s="936"/>
      <c r="P28" s="595"/>
      <c r="Q28" s="595"/>
      <c r="R28" s="595"/>
      <c r="S28" s="595"/>
      <c r="V28" s="154" t="s">
        <v>1391</v>
      </c>
    </row>
    <row r="29" spans="2:24" s="36" customFormat="1" ht="12.75" customHeight="1" x14ac:dyDescent="0.3">
      <c r="B29" s="860" t="s">
        <v>1419</v>
      </c>
      <c r="C29" s="861"/>
      <c r="D29" s="861"/>
      <c r="E29" s="861"/>
      <c r="F29" s="861"/>
      <c r="G29" s="862"/>
      <c r="H29" s="99"/>
      <c r="I29" s="937"/>
      <c r="J29" s="938"/>
      <c r="K29" s="938"/>
      <c r="L29" s="938"/>
      <c r="M29" s="938"/>
      <c r="N29" s="939"/>
      <c r="P29" s="986"/>
      <c r="Q29" s="987"/>
      <c r="R29" s="987"/>
      <c r="S29" s="988"/>
      <c r="U29" s="490"/>
    </row>
    <row r="30" spans="2:24" s="36" customFormat="1" ht="12.75" customHeight="1" x14ac:dyDescent="0.25">
      <c r="B30" s="832"/>
      <c r="C30" s="833"/>
      <c r="D30" s="833"/>
      <c r="E30" s="833"/>
      <c r="F30" s="833"/>
      <c r="G30" s="834"/>
      <c r="H30" s="138"/>
      <c r="I30" s="940"/>
      <c r="J30" s="941"/>
      <c r="K30" s="941"/>
      <c r="L30" s="941"/>
      <c r="M30" s="941"/>
      <c r="N30" s="942"/>
      <c r="P30" s="986"/>
      <c r="Q30" s="987"/>
      <c r="R30" s="987"/>
      <c r="S30" s="988"/>
      <c r="U30" s="610" t="s">
        <v>2017</v>
      </c>
      <c r="V30" s="610"/>
      <c r="W30" s="610"/>
      <c r="X30" s="610"/>
    </row>
    <row r="31" spans="2:24" s="36" customFormat="1" ht="12.75" customHeight="1" x14ac:dyDescent="0.25">
      <c r="B31" s="835"/>
      <c r="C31" s="836"/>
      <c r="D31" s="836"/>
      <c r="E31" s="836"/>
      <c r="F31" s="836"/>
      <c r="G31" s="837"/>
      <c r="H31" s="138"/>
      <c r="I31" s="940"/>
      <c r="J31" s="941"/>
      <c r="K31" s="941"/>
      <c r="L31" s="941"/>
      <c r="M31" s="941"/>
      <c r="N31" s="942"/>
      <c r="P31" s="986"/>
      <c r="Q31" s="987"/>
      <c r="R31" s="987"/>
      <c r="S31" s="988"/>
      <c r="U31" s="610"/>
      <c r="V31" s="610"/>
      <c r="W31" s="610"/>
      <c r="X31" s="610"/>
    </row>
    <row r="32" spans="2:24" s="36" customFormat="1" ht="12.75" customHeight="1" thickBot="1" x14ac:dyDescent="0.3">
      <c r="B32" s="838"/>
      <c r="C32" s="839"/>
      <c r="D32" s="839"/>
      <c r="E32" s="839"/>
      <c r="F32" s="839"/>
      <c r="G32" s="840"/>
      <c r="H32" s="138"/>
      <c r="I32" s="943"/>
      <c r="J32" s="944"/>
      <c r="K32" s="944"/>
      <c r="L32" s="944"/>
      <c r="M32" s="944"/>
      <c r="N32" s="945"/>
      <c r="P32" s="989"/>
      <c r="Q32" s="990"/>
      <c r="R32" s="990"/>
      <c r="S32" s="991"/>
      <c r="U32" s="610"/>
      <c r="V32" s="610"/>
      <c r="W32" s="610"/>
      <c r="X32" s="610"/>
    </row>
    <row r="33" spans="2:27" s="36" customFormat="1" ht="18.5" thickTop="1" thickBot="1" x14ac:dyDescent="0.35">
      <c r="B33" s="9" t="s">
        <v>1392</v>
      </c>
      <c r="C33" s="9"/>
      <c r="D33" s="9"/>
      <c r="E33" s="3"/>
      <c r="F33" s="84"/>
      <c r="G33" s="84"/>
      <c r="H33" s="84"/>
      <c r="I33" s="4"/>
      <c r="J33" s="4"/>
      <c r="K33" s="4"/>
      <c r="L33" s="4"/>
      <c r="M33" s="3"/>
      <c r="N33" s="84"/>
      <c r="O33" s="3"/>
      <c r="P33" s="84"/>
      <c r="Q33" s="84"/>
      <c r="R33" s="5"/>
      <c r="S33" s="5"/>
      <c r="T33" s="140"/>
      <c r="U33" s="610"/>
      <c r="V33" s="610"/>
      <c r="W33" s="610"/>
      <c r="X33" s="610"/>
    </row>
    <row r="34" spans="2:27" ht="21" customHeight="1" thickTop="1" x14ac:dyDescent="0.25">
      <c r="B34" s="575" t="s">
        <v>1887</v>
      </c>
      <c r="C34" s="576"/>
      <c r="D34" s="576"/>
      <c r="E34" s="576"/>
      <c r="F34" s="576"/>
      <c r="G34" s="576"/>
      <c r="H34" s="576"/>
      <c r="I34" s="576"/>
      <c r="J34" s="576"/>
      <c r="K34" s="576"/>
      <c r="L34" s="576"/>
      <c r="M34" s="576"/>
      <c r="N34" s="576"/>
      <c r="O34" s="576"/>
      <c r="P34" s="576"/>
      <c r="Q34" s="576"/>
      <c r="R34" s="576"/>
      <c r="S34" s="577"/>
      <c r="U34" s="36"/>
      <c r="V34" s="36"/>
      <c r="W34" s="36"/>
      <c r="X34" s="108"/>
    </row>
    <row r="35" spans="2:27" ht="38.25" customHeight="1" x14ac:dyDescent="0.25">
      <c r="B35" s="52" t="s">
        <v>690</v>
      </c>
      <c r="C35" s="422" t="s">
        <v>1896</v>
      </c>
      <c r="D35" s="422" t="s">
        <v>1897</v>
      </c>
      <c r="E35" s="422" t="s">
        <v>1370</v>
      </c>
      <c r="F35" s="430" t="s">
        <v>1371</v>
      </c>
      <c r="G35" s="422" t="s">
        <v>1898</v>
      </c>
      <c r="H35" s="911" t="s">
        <v>1373</v>
      </c>
      <c r="I35" s="912"/>
      <c r="J35" s="912"/>
      <c r="K35" s="912"/>
      <c r="L35" s="422" t="s">
        <v>1450</v>
      </c>
      <c r="M35" s="422" t="s">
        <v>1899</v>
      </c>
      <c r="N35" s="951" t="s">
        <v>1430</v>
      </c>
      <c r="O35" s="951"/>
      <c r="P35" s="951"/>
      <c r="Q35" s="646" t="s">
        <v>1429</v>
      </c>
      <c r="R35" s="647"/>
      <c r="S35" s="690"/>
      <c r="U35" s="36"/>
      <c r="V35" s="36"/>
      <c r="W35" s="36"/>
      <c r="Y35" s="101"/>
      <c r="Z35" s="35"/>
    </row>
    <row r="36" spans="2:27" ht="12.75" customHeight="1" x14ac:dyDescent="0.25">
      <c r="B36" s="354">
        <v>1</v>
      </c>
      <c r="C36" s="371"/>
      <c r="D36" s="372"/>
      <c r="E36" s="362"/>
      <c r="F36" s="431"/>
      <c r="G36" s="425"/>
      <c r="H36" s="905"/>
      <c r="I36" s="906"/>
      <c r="J36" s="906"/>
      <c r="K36" s="907"/>
      <c r="L36" s="429"/>
      <c r="M36" s="426"/>
      <c r="N36" s="983" t="s">
        <v>1431</v>
      </c>
      <c r="O36" s="983"/>
      <c r="P36" s="983"/>
      <c r="Q36" s="916"/>
      <c r="R36" s="916"/>
      <c r="S36" s="917"/>
      <c r="T36" s="132"/>
      <c r="U36" s="140"/>
      <c r="V36" s="6"/>
      <c r="W36" s="6"/>
      <c r="Y36" s="101"/>
      <c r="Z36" s="35"/>
    </row>
    <row r="37" spans="2:27" ht="12.75" customHeight="1" x14ac:dyDescent="0.25">
      <c r="B37" s="354">
        <v>2</v>
      </c>
      <c r="C37" s="371"/>
      <c r="D37" s="372"/>
      <c r="E37" s="362"/>
      <c r="F37" s="431"/>
      <c r="G37" s="425"/>
      <c r="H37" s="905"/>
      <c r="I37" s="906"/>
      <c r="J37" s="906"/>
      <c r="K37" s="907"/>
      <c r="L37" s="429"/>
      <c r="M37" s="421"/>
      <c r="N37" s="915" t="s">
        <v>1431</v>
      </c>
      <c r="O37" s="915"/>
      <c r="P37" s="915"/>
      <c r="Q37" s="916"/>
      <c r="R37" s="916"/>
      <c r="S37" s="917"/>
      <c r="T37" s="132"/>
      <c r="W37" s="108"/>
      <c r="Y37" s="101"/>
      <c r="Z37" s="35"/>
      <c r="AA37" s="36"/>
    </row>
    <row r="38" spans="2:27" ht="12.75" customHeight="1" x14ac:dyDescent="0.25">
      <c r="B38" s="354">
        <v>3</v>
      </c>
      <c r="C38" s="371"/>
      <c r="D38" s="372"/>
      <c r="E38" s="362"/>
      <c r="F38" s="431"/>
      <c r="G38" s="425"/>
      <c r="H38" s="905"/>
      <c r="I38" s="906"/>
      <c r="J38" s="906"/>
      <c r="K38" s="907"/>
      <c r="L38" s="428"/>
      <c r="M38" s="421"/>
      <c r="N38" s="915" t="s">
        <v>1431</v>
      </c>
      <c r="O38" s="915"/>
      <c r="P38" s="915"/>
      <c r="Q38" s="916"/>
      <c r="R38" s="916"/>
      <c r="S38" s="917"/>
      <c r="T38" s="132"/>
      <c r="U38" s="610" t="s">
        <v>693</v>
      </c>
      <c r="V38" s="610"/>
      <c r="W38" s="610"/>
      <c r="X38" s="610"/>
      <c r="Y38" s="101"/>
      <c r="Z38" s="35"/>
      <c r="AA38" s="36"/>
    </row>
    <row r="39" spans="2:27" ht="13" x14ac:dyDescent="0.25">
      <c r="B39" s="354">
        <v>4</v>
      </c>
      <c r="C39" s="371"/>
      <c r="D39" s="372"/>
      <c r="E39" s="362"/>
      <c r="F39" s="431"/>
      <c r="G39" s="425"/>
      <c r="H39" s="905"/>
      <c r="I39" s="906"/>
      <c r="J39" s="906"/>
      <c r="K39" s="907"/>
      <c r="L39" s="429"/>
      <c r="M39" s="421"/>
      <c r="N39" s="915" t="s">
        <v>1431</v>
      </c>
      <c r="O39" s="915"/>
      <c r="P39" s="915"/>
      <c r="Q39" s="916"/>
      <c r="R39" s="916"/>
      <c r="S39" s="917"/>
      <c r="T39" s="132"/>
      <c r="U39" s="610"/>
      <c r="V39" s="610"/>
      <c r="W39" s="610"/>
      <c r="X39" s="610"/>
      <c r="Y39" s="101"/>
      <c r="Z39" s="35"/>
      <c r="AA39" s="36"/>
    </row>
    <row r="40" spans="2:27" ht="13" x14ac:dyDescent="0.25">
      <c r="B40" s="354">
        <v>5</v>
      </c>
      <c r="C40" s="371"/>
      <c r="D40" s="372"/>
      <c r="E40" s="362"/>
      <c r="F40" s="431"/>
      <c r="G40" s="425"/>
      <c r="H40" s="905"/>
      <c r="I40" s="906"/>
      <c r="J40" s="906"/>
      <c r="K40" s="907"/>
      <c r="L40" s="429"/>
      <c r="M40" s="421"/>
      <c r="N40" s="915" t="s">
        <v>1431</v>
      </c>
      <c r="O40" s="915"/>
      <c r="P40" s="915"/>
      <c r="Q40" s="916"/>
      <c r="R40" s="916"/>
      <c r="S40" s="917"/>
      <c r="T40" s="132"/>
      <c r="U40" s="610"/>
      <c r="V40" s="610"/>
      <c r="W40" s="610"/>
      <c r="X40" s="610"/>
      <c r="Y40" s="123"/>
    </row>
    <row r="41" spans="2:27" ht="13" x14ac:dyDescent="0.25">
      <c r="B41" s="354">
        <v>6</v>
      </c>
      <c r="C41" s="371"/>
      <c r="D41" s="372"/>
      <c r="E41" s="362"/>
      <c r="F41" s="431"/>
      <c r="G41" s="425"/>
      <c r="H41" s="905"/>
      <c r="I41" s="906"/>
      <c r="J41" s="906"/>
      <c r="K41" s="907"/>
      <c r="L41" s="428"/>
      <c r="M41" s="421"/>
      <c r="N41" s="915" t="s">
        <v>1431</v>
      </c>
      <c r="O41" s="915"/>
      <c r="P41" s="915"/>
      <c r="Q41" s="916"/>
      <c r="R41" s="916"/>
      <c r="S41" s="917"/>
      <c r="T41" s="132"/>
      <c r="U41" s="610"/>
      <c r="V41" s="610"/>
      <c r="W41" s="610"/>
      <c r="X41" s="610"/>
      <c r="Y41" s="123"/>
    </row>
    <row r="42" spans="2:27" ht="13" x14ac:dyDescent="0.25">
      <c r="B42" s="354">
        <v>7</v>
      </c>
      <c r="C42" s="371"/>
      <c r="D42" s="372"/>
      <c r="E42" s="362"/>
      <c r="F42" s="431"/>
      <c r="G42" s="425"/>
      <c r="H42" s="905"/>
      <c r="I42" s="906"/>
      <c r="J42" s="906"/>
      <c r="K42" s="907"/>
      <c r="L42" s="428"/>
      <c r="M42" s="421"/>
      <c r="N42" s="915" t="s">
        <v>1431</v>
      </c>
      <c r="O42" s="915"/>
      <c r="P42" s="915"/>
      <c r="Q42" s="916"/>
      <c r="R42" s="916"/>
      <c r="S42" s="917"/>
      <c r="T42" s="132"/>
      <c r="U42" s="610"/>
      <c r="V42" s="610"/>
      <c r="W42" s="610"/>
      <c r="X42" s="610"/>
      <c r="Y42" s="123"/>
    </row>
    <row r="43" spans="2:27" ht="13" x14ac:dyDescent="0.25">
      <c r="B43" s="354">
        <v>8</v>
      </c>
      <c r="C43" s="371"/>
      <c r="D43" s="372"/>
      <c r="E43" s="362"/>
      <c r="F43" s="431"/>
      <c r="G43" s="425"/>
      <c r="H43" s="905"/>
      <c r="I43" s="906"/>
      <c r="J43" s="906"/>
      <c r="K43" s="907"/>
      <c r="L43" s="428"/>
      <c r="M43" s="421"/>
      <c r="N43" s="915" t="s">
        <v>1431</v>
      </c>
      <c r="O43" s="915"/>
      <c r="P43" s="915"/>
      <c r="Q43" s="916"/>
      <c r="R43" s="916"/>
      <c r="S43" s="917"/>
      <c r="T43" s="132"/>
      <c r="U43" s="610"/>
      <c r="V43" s="610"/>
      <c r="W43" s="610"/>
      <c r="X43" s="610"/>
      <c r="Y43" s="122"/>
    </row>
    <row r="44" spans="2:27" ht="13" x14ac:dyDescent="0.25">
      <c r="B44" s="354">
        <v>9</v>
      </c>
      <c r="C44" s="371"/>
      <c r="D44" s="372"/>
      <c r="E44" s="362"/>
      <c r="F44" s="431"/>
      <c r="G44" s="425"/>
      <c r="H44" s="905"/>
      <c r="I44" s="906"/>
      <c r="J44" s="906"/>
      <c r="K44" s="907"/>
      <c r="L44" s="428"/>
      <c r="M44" s="421"/>
      <c r="N44" s="915" t="s">
        <v>1431</v>
      </c>
      <c r="O44" s="915"/>
      <c r="P44" s="915"/>
      <c r="Q44" s="916"/>
      <c r="R44" s="916"/>
      <c r="S44" s="917"/>
      <c r="T44" s="132"/>
      <c r="U44" s="132"/>
      <c r="V44" s="132"/>
      <c r="Y44" s="122"/>
    </row>
    <row r="45" spans="2:27" ht="13.5" thickBot="1" x14ac:dyDescent="0.3">
      <c r="B45" s="355">
        <v>10</v>
      </c>
      <c r="C45" s="373"/>
      <c r="D45" s="374"/>
      <c r="E45" s="420"/>
      <c r="F45" s="432"/>
      <c r="G45" s="423"/>
      <c r="H45" s="908"/>
      <c r="I45" s="909"/>
      <c r="J45" s="909"/>
      <c r="K45" s="910"/>
      <c r="L45" s="424"/>
      <c r="M45" s="427"/>
      <c r="N45" s="977" t="s">
        <v>1431</v>
      </c>
      <c r="O45" s="977"/>
      <c r="P45" s="977"/>
      <c r="Q45" s="924"/>
      <c r="R45" s="924"/>
      <c r="S45" s="925"/>
      <c r="T45" s="132"/>
      <c r="U45" s="132"/>
      <c r="V45" s="132"/>
      <c r="Y45" s="122"/>
    </row>
    <row r="46" spans="2:27" ht="19.5" customHeight="1" thickTop="1" thickBot="1" x14ac:dyDescent="0.35">
      <c r="B46" s="9"/>
      <c r="C46" s="66"/>
      <c r="D46" s="66"/>
      <c r="E46" s="89"/>
      <c r="F46" s="89"/>
      <c r="G46" s="89"/>
      <c r="H46" s="89"/>
      <c r="I46" s="87"/>
      <c r="J46" s="87"/>
      <c r="K46" s="87"/>
      <c r="L46" s="87"/>
      <c r="M46" s="88"/>
      <c r="N46" s="109"/>
      <c r="O46" s="110"/>
      <c r="P46" s="110"/>
      <c r="Q46" s="110"/>
      <c r="R46" s="111"/>
      <c r="S46" s="111"/>
      <c r="T46" s="141"/>
      <c r="U46" s="132"/>
      <c r="V46" s="132"/>
      <c r="X46" s="88"/>
      <c r="Y46" s="36"/>
    </row>
    <row r="47" spans="2:27" ht="21" customHeight="1" thickTop="1" x14ac:dyDescent="0.25">
      <c r="B47" s="595" t="s">
        <v>1447</v>
      </c>
      <c r="C47" s="595"/>
      <c r="D47" s="595"/>
      <c r="E47" s="595"/>
      <c r="F47" s="595"/>
      <c r="G47" s="595"/>
      <c r="H47" s="595"/>
      <c r="I47" s="595"/>
      <c r="J47" s="595"/>
      <c r="K47" s="595"/>
      <c r="L47" s="595"/>
      <c r="M47" s="595"/>
      <c r="N47" s="595"/>
      <c r="O47" s="595"/>
      <c r="P47" s="595"/>
      <c r="Q47" s="595"/>
      <c r="R47" s="595"/>
      <c r="S47" s="595"/>
      <c r="T47" s="108"/>
      <c r="U47" s="132"/>
      <c r="V47" s="132"/>
      <c r="X47" s="108"/>
      <c r="Y47" s="36"/>
    </row>
    <row r="48" spans="2:27" s="344" customFormat="1" ht="13" x14ac:dyDescent="0.25">
      <c r="B48" s="972" t="s">
        <v>689</v>
      </c>
      <c r="C48" s="971" t="s">
        <v>1893</v>
      </c>
      <c r="D48" s="971" t="s">
        <v>1894</v>
      </c>
      <c r="E48" s="984" t="s">
        <v>1900</v>
      </c>
      <c r="F48" s="985"/>
      <c r="G48" s="985"/>
      <c r="H48" s="985"/>
      <c r="I48" s="985"/>
      <c r="J48" s="646" t="s">
        <v>1895</v>
      </c>
      <c r="K48" s="647"/>
      <c r="L48" s="699"/>
      <c r="M48" s="647" t="s">
        <v>1432</v>
      </c>
      <c r="N48" s="926"/>
      <c r="O48" s="647" t="s">
        <v>1248</v>
      </c>
      <c r="P48" s="647"/>
      <c r="Q48" s="647"/>
      <c r="R48" s="647"/>
      <c r="S48" s="690"/>
      <c r="T48" s="31"/>
      <c r="U48" s="132"/>
      <c r="V48" s="132"/>
      <c r="W48" s="3"/>
      <c r="X48" s="164"/>
    </row>
    <row r="49" spans="1:24" ht="43.5" customHeight="1" x14ac:dyDescent="0.25">
      <c r="B49" s="973"/>
      <c r="C49" s="951"/>
      <c r="D49" s="951"/>
      <c r="E49" s="360" t="s">
        <v>1417</v>
      </c>
      <c r="F49" s="361" t="s">
        <v>13</v>
      </c>
      <c r="G49" s="974" t="s">
        <v>65</v>
      </c>
      <c r="H49" s="975"/>
      <c r="I49" s="976"/>
      <c r="J49" s="911"/>
      <c r="K49" s="912"/>
      <c r="L49" s="913"/>
      <c r="M49" s="912"/>
      <c r="N49" s="927"/>
      <c r="O49" s="922"/>
      <c r="P49" s="922"/>
      <c r="Q49" s="922"/>
      <c r="R49" s="922"/>
      <c r="S49" s="923"/>
      <c r="T49" s="31"/>
      <c r="U49" s="141"/>
      <c r="V49" s="142"/>
      <c r="W49" s="142"/>
    </row>
    <row r="50" spans="1:24" ht="13" x14ac:dyDescent="0.3">
      <c r="B50" s="356">
        <v>1</v>
      </c>
      <c r="C50" s="375"/>
      <c r="D50" s="376"/>
      <c r="E50" s="359"/>
      <c r="F50" s="147"/>
      <c r="G50" s="918"/>
      <c r="H50" s="918"/>
      <c r="I50" s="918"/>
      <c r="J50" s="967"/>
      <c r="K50" s="967"/>
      <c r="L50" s="967"/>
      <c r="M50" s="969" t="s">
        <v>1431</v>
      </c>
      <c r="N50" s="970"/>
      <c r="O50" s="961"/>
      <c r="P50" s="962"/>
      <c r="Q50" s="962"/>
      <c r="R50" s="962"/>
      <c r="S50" s="963"/>
      <c r="T50" s="31"/>
      <c r="U50" s="610" t="s">
        <v>695</v>
      </c>
      <c r="V50" s="610"/>
      <c r="W50" s="610"/>
      <c r="X50" s="610"/>
    </row>
    <row r="51" spans="1:24" ht="12.75" customHeight="1" x14ac:dyDescent="0.3">
      <c r="B51" s="356">
        <v>2</v>
      </c>
      <c r="C51" s="371"/>
      <c r="D51" s="377"/>
      <c r="E51" s="130"/>
      <c r="F51" s="232"/>
      <c r="G51" s="914"/>
      <c r="H51" s="914"/>
      <c r="I51" s="914"/>
      <c r="J51" s="959"/>
      <c r="K51" s="959"/>
      <c r="L51" s="959"/>
      <c r="M51" s="955" t="s">
        <v>1431</v>
      </c>
      <c r="N51" s="956"/>
      <c r="O51" s="919"/>
      <c r="P51" s="920"/>
      <c r="Q51" s="920"/>
      <c r="R51" s="920"/>
      <c r="S51" s="921"/>
      <c r="U51" s="610"/>
      <c r="V51" s="610"/>
      <c r="W51" s="610"/>
      <c r="X51" s="610"/>
    </row>
    <row r="52" spans="1:24" ht="13" x14ac:dyDescent="0.3">
      <c r="B52" s="356">
        <v>3</v>
      </c>
      <c r="C52" s="371"/>
      <c r="D52" s="377"/>
      <c r="E52" s="130"/>
      <c r="F52" s="232"/>
      <c r="G52" s="914"/>
      <c r="H52" s="914"/>
      <c r="I52" s="914"/>
      <c r="J52" s="959"/>
      <c r="K52" s="959"/>
      <c r="L52" s="959"/>
      <c r="M52" s="955" t="s">
        <v>1431</v>
      </c>
      <c r="N52" s="956"/>
      <c r="O52" s="919"/>
      <c r="P52" s="920"/>
      <c r="Q52" s="920"/>
      <c r="R52" s="920"/>
      <c r="S52" s="921"/>
      <c r="T52" s="132"/>
      <c r="U52" s="610"/>
      <c r="V52" s="610"/>
      <c r="W52" s="610"/>
      <c r="X52" s="610"/>
    </row>
    <row r="53" spans="1:24" ht="12.75" customHeight="1" x14ac:dyDescent="0.3">
      <c r="B53" s="356">
        <v>4</v>
      </c>
      <c r="C53" s="371"/>
      <c r="D53" s="377"/>
      <c r="E53" s="130"/>
      <c r="F53" s="232"/>
      <c r="G53" s="914"/>
      <c r="H53" s="914"/>
      <c r="I53" s="914"/>
      <c r="J53" s="959"/>
      <c r="K53" s="959"/>
      <c r="L53" s="959"/>
      <c r="M53" s="955" t="s">
        <v>1431</v>
      </c>
      <c r="N53" s="956"/>
      <c r="O53" s="919"/>
      <c r="P53" s="920"/>
      <c r="Q53" s="920"/>
      <c r="R53" s="920"/>
      <c r="S53" s="921"/>
      <c r="T53" s="132"/>
      <c r="U53" s="610"/>
      <c r="V53" s="610"/>
      <c r="W53" s="610"/>
      <c r="X53" s="610"/>
    </row>
    <row r="54" spans="1:24" ht="12.75" customHeight="1" x14ac:dyDescent="0.3">
      <c r="B54" s="356">
        <v>5</v>
      </c>
      <c r="C54" s="371"/>
      <c r="D54" s="377"/>
      <c r="E54" s="130"/>
      <c r="F54" s="232"/>
      <c r="G54" s="914"/>
      <c r="H54" s="914"/>
      <c r="I54" s="914"/>
      <c r="J54" s="959"/>
      <c r="K54" s="959"/>
      <c r="L54" s="959"/>
      <c r="M54" s="955" t="s">
        <v>1431</v>
      </c>
      <c r="N54" s="956"/>
      <c r="O54" s="919"/>
      <c r="P54" s="920"/>
      <c r="Q54" s="920"/>
      <c r="R54" s="920"/>
      <c r="S54" s="921"/>
      <c r="T54" s="132"/>
      <c r="U54" s="501"/>
      <c r="V54" s="501"/>
      <c r="W54" s="501"/>
      <c r="X54" s="132"/>
    </row>
    <row r="55" spans="1:24" ht="13" x14ac:dyDescent="0.3">
      <c r="B55" s="356">
        <v>6</v>
      </c>
      <c r="C55" s="371"/>
      <c r="D55" s="377"/>
      <c r="E55" s="130"/>
      <c r="F55" s="232"/>
      <c r="G55" s="914"/>
      <c r="H55" s="914"/>
      <c r="I55" s="914"/>
      <c r="J55" s="959"/>
      <c r="K55" s="959"/>
      <c r="L55" s="959"/>
      <c r="M55" s="955" t="s">
        <v>1431</v>
      </c>
      <c r="N55" s="956"/>
      <c r="O55" s="919"/>
      <c r="P55" s="920"/>
      <c r="Q55" s="920"/>
      <c r="R55" s="920"/>
      <c r="S55" s="921"/>
      <c r="T55" s="132"/>
      <c r="X55" s="132"/>
    </row>
    <row r="56" spans="1:24" ht="13" x14ac:dyDescent="0.3">
      <c r="B56" s="356">
        <v>7</v>
      </c>
      <c r="C56" s="371"/>
      <c r="D56" s="377"/>
      <c r="E56" s="130"/>
      <c r="F56" s="232"/>
      <c r="G56" s="914"/>
      <c r="H56" s="914"/>
      <c r="I56" s="914"/>
      <c r="J56" s="959"/>
      <c r="K56" s="959"/>
      <c r="L56" s="959"/>
      <c r="M56" s="955" t="s">
        <v>1431</v>
      </c>
      <c r="N56" s="956"/>
      <c r="O56" s="919"/>
      <c r="P56" s="920"/>
      <c r="Q56" s="920"/>
      <c r="R56" s="920"/>
      <c r="S56" s="921"/>
      <c r="T56" s="132"/>
      <c r="X56" s="132"/>
    </row>
    <row r="57" spans="1:24" ht="13" x14ac:dyDescent="0.3">
      <c r="B57" s="356">
        <v>8</v>
      </c>
      <c r="C57" s="371"/>
      <c r="D57" s="377"/>
      <c r="E57" s="130"/>
      <c r="F57" s="232"/>
      <c r="G57" s="914"/>
      <c r="H57" s="914"/>
      <c r="I57" s="914"/>
      <c r="J57" s="959"/>
      <c r="K57" s="959"/>
      <c r="L57" s="959"/>
      <c r="M57" s="955" t="s">
        <v>1431</v>
      </c>
      <c r="N57" s="956"/>
      <c r="O57" s="919"/>
      <c r="P57" s="920"/>
      <c r="Q57" s="920"/>
      <c r="R57" s="920"/>
      <c r="S57" s="921"/>
      <c r="T57" s="31"/>
    </row>
    <row r="58" spans="1:24" ht="13" x14ac:dyDescent="0.3">
      <c r="B58" s="356">
        <v>9</v>
      </c>
      <c r="C58" s="371"/>
      <c r="D58" s="377"/>
      <c r="E58" s="130"/>
      <c r="F58" s="232"/>
      <c r="G58" s="914"/>
      <c r="H58" s="914"/>
      <c r="I58" s="914"/>
      <c r="J58" s="959"/>
      <c r="K58" s="959"/>
      <c r="L58" s="959"/>
      <c r="M58" s="955" t="s">
        <v>1431</v>
      </c>
      <c r="N58" s="956"/>
      <c r="O58" s="919"/>
      <c r="P58" s="920"/>
      <c r="Q58" s="920"/>
      <c r="R58" s="920"/>
      <c r="S58" s="921"/>
      <c r="T58" s="31"/>
    </row>
    <row r="59" spans="1:24" ht="13.5" thickBot="1" x14ac:dyDescent="0.35">
      <c r="B59" s="357">
        <v>10</v>
      </c>
      <c r="C59" s="373"/>
      <c r="D59" s="378"/>
      <c r="E59" s="131"/>
      <c r="F59" s="234"/>
      <c r="G59" s="968"/>
      <c r="H59" s="968"/>
      <c r="I59" s="968"/>
      <c r="J59" s="960"/>
      <c r="K59" s="960"/>
      <c r="L59" s="960"/>
      <c r="M59" s="957" t="s">
        <v>1431</v>
      </c>
      <c r="N59" s="958"/>
      <c r="O59" s="964"/>
      <c r="P59" s="965"/>
      <c r="Q59" s="965"/>
      <c r="R59" s="965"/>
      <c r="S59" s="966"/>
      <c r="T59" s="31"/>
      <c r="U59" s="133"/>
      <c r="V59" s="133"/>
      <c r="W59" s="31"/>
    </row>
    <row r="60" spans="1:24" ht="10.5" customHeight="1" thickTop="1" x14ac:dyDescent="0.25">
      <c r="B60" s="610" t="s">
        <v>694</v>
      </c>
      <c r="C60" s="610"/>
      <c r="D60" s="610"/>
      <c r="E60" s="610"/>
      <c r="F60" s="610"/>
      <c r="G60" s="610"/>
      <c r="H60" s="610"/>
      <c r="I60" s="610"/>
      <c r="J60" s="610"/>
      <c r="K60" s="610"/>
      <c r="L60" s="610"/>
      <c r="M60" s="610"/>
      <c r="N60" s="610"/>
      <c r="O60" s="610"/>
      <c r="P60" s="610"/>
      <c r="Q60" s="610"/>
      <c r="R60" s="610"/>
      <c r="S60" s="121"/>
      <c r="T60" s="102"/>
    </row>
    <row r="61" spans="1:24" ht="12.75" customHeight="1" x14ac:dyDescent="0.25">
      <c r="B61" s="982"/>
      <c r="C61" s="982"/>
      <c r="D61" s="982"/>
      <c r="E61" s="982"/>
      <c r="F61" s="982"/>
      <c r="G61" s="982"/>
      <c r="H61" s="982"/>
      <c r="I61" s="982"/>
      <c r="J61" s="982"/>
      <c r="K61" s="982"/>
      <c r="L61" s="982"/>
      <c r="M61" s="982"/>
      <c r="N61" s="982"/>
      <c r="O61" s="982"/>
      <c r="P61" s="982"/>
      <c r="Q61" s="982"/>
      <c r="R61" s="982"/>
      <c r="S61" s="112"/>
      <c r="T61" s="97"/>
    </row>
    <row r="62" spans="1:24" ht="13" x14ac:dyDescent="0.25">
      <c r="B62" s="982"/>
      <c r="C62" s="982"/>
      <c r="D62" s="982"/>
      <c r="E62" s="982"/>
      <c r="F62" s="982"/>
      <c r="G62" s="982"/>
      <c r="H62" s="982"/>
      <c r="I62" s="982"/>
      <c r="J62" s="982"/>
      <c r="K62" s="982"/>
      <c r="L62" s="982"/>
      <c r="M62" s="982"/>
      <c r="N62" s="982"/>
      <c r="O62" s="982"/>
      <c r="P62" s="982"/>
      <c r="Q62" s="982"/>
      <c r="R62" s="982"/>
      <c r="S62" s="112"/>
      <c r="T62" s="97"/>
    </row>
    <row r="63" spans="1:24" ht="0.75" customHeight="1" x14ac:dyDescent="0.25">
      <c r="B63" s="982"/>
      <c r="C63" s="982"/>
      <c r="D63" s="982"/>
      <c r="E63" s="982"/>
      <c r="F63" s="982"/>
      <c r="G63" s="982"/>
      <c r="H63" s="982"/>
      <c r="I63" s="982"/>
      <c r="J63" s="982"/>
      <c r="K63" s="982"/>
      <c r="L63" s="982"/>
      <c r="M63" s="982"/>
      <c r="N63" s="982"/>
      <c r="O63" s="982"/>
      <c r="P63" s="982"/>
      <c r="Q63" s="982"/>
      <c r="R63" s="982"/>
      <c r="S63" s="112"/>
      <c r="T63" s="97"/>
    </row>
    <row r="64" spans="1:24" ht="15.75" hidden="1" customHeight="1" x14ac:dyDescent="0.25">
      <c r="A64" s="35"/>
      <c r="B64" s="98" t="s">
        <v>1913</v>
      </c>
      <c r="C64" s="98" t="s">
        <v>2047</v>
      </c>
      <c r="D64" s="98"/>
      <c r="E64" s="98"/>
      <c r="F64" s="98"/>
      <c r="G64" s="98"/>
      <c r="H64" s="98"/>
      <c r="I64" s="98"/>
      <c r="J64" s="98"/>
      <c r="K64" s="98"/>
      <c r="L64" s="98"/>
      <c r="M64" s="98"/>
      <c r="N64" s="98"/>
      <c r="O64" s="97"/>
      <c r="P64" s="97"/>
      <c r="Q64" s="97"/>
      <c r="R64" s="1"/>
      <c r="S64" s="1"/>
    </row>
    <row r="65" spans="1:24" x14ac:dyDescent="0.25">
      <c r="A65" s="35"/>
      <c r="B65" s="1"/>
      <c r="C65" s="1"/>
      <c r="D65" s="1"/>
      <c r="E65" s="1"/>
      <c r="F65" s="1"/>
      <c r="G65" s="1"/>
      <c r="H65" s="1"/>
      <c r="I65" s="1"/>
      <c r="J65" s="1"/>
      <c r="K65" s="1"/>
      <c r="L65" s="1"/>
      <c r="M65" s="1"/>
      <c r="N65" s="1"/>
      <c r="O65" s="1"/>
      <c r="P65" s="1"/>
      <c r="Q65" s="1"/>
      <c r="R65" s="1"/>
      <c r="S65" s="1"/>
    </row>
    <row r="66" spans="1:24" ht="13" x14ac:dyDescent="0.25">
      <c r="A66" s="35"/>
      <c r="B66" s="98"/>
      <c r="C66" s="98"/>
      <c r="D66" s="98"/>
      <c r="E66" s="98"/>
      <c r="F66" s="98"/>
      <c r="G66" s="98"/>
      <c r="H66" s="98"/>
      <c r="I66" s="98"/>
      <c r="J66" s="98"/>
      <c r="K66" s="98"/>
      <c r="L66" s="98"/>
      <c r="M66" s="98"/>
      <c r="N66" s="98"/>
      <c r="O66" s="98"/>
      <c r="P66" s="98"/>
      <c r="Q66" s="98"/>
      <c r="R66" s="1"/>
      <c r="S66" s="1"/>
      <c r="U66" s="1"/>
      <c r="V66" s="1"/>
      <c r="W66" s="93"/>
      <c r="X66" s="93"/>
    </row>
    <row r="67" spans="1:24" ht="13" x14ac:dyDescent="0.25">
      <c r="A67" s="35"/>
      <c r="B67" s="35"/>
      <c r="C67" s="35"/>
      <c r="D67" s="35"/>
      <c r="E67" s="35"/>
      <c r="F67" s="35"/>
      <c r="G67" s="35"/>
      <c r="H67" s="35"/>
      <c r="I67" s="35"/>
      <c r="J67" s="35"/>
      <c r="K67" s="35"/>
      <c r="L67" s="35"/>
      <c r="M67" s="1"/>
      <c r="N67" s="1"/>
      <c r="O67" s="1"/>
      <c r="P67" s="1"/>
      <c r="Q67" s="1"/>
      <c r="R67" s="1"/>
      <c r="S67" s="1"/>
      <c r="U67" s="1"/>
      <c r="V67" s="1"/>
      <c r="W67" s="93"/>
      <c r="X67" s="93"/>
    </row>
    <row r="68" spans="1:24" ht="13" x14ac:dyDescent="0.25">
      <c r="A68" s="35"/>
      <c r="B68" s="1"/>
      <c r="C68" s="1"/>
      <c r="D68" s="1"/>
      <c r="E68" s="1"/>
      <c r="F68" s="1"/>
      <c r="G68" s="1"/>
      <c r="H68" s="1"/>
      <c r="I68" s="1"/>
      <c r="J68" s="1"/>
      <c r="K68" s="1"/>
      <c r="L68" s="1"/>
      <c r="M68" s="1"/>
      <c r="N68" s="1"/>
      <c r="O68" s="1"/>
      <c r="P68" s="1"/>
      <c r="Q68" s="1"/>
      <c r="R68" s="1"/>
      <c r="S68" s="1"/>
      <c r="U68" s="1"/>
      <c r="V68" s="1"/>
      <c r="W68" s="93"/>
      <c r="X68" s="93"/>
    </row>
    <row r="69" spans="1:24" ht="13" x14ac:dyDescent="0.25">
      <c r="U69" s="1"/>
      <c r="V69" s="1"/>
      <c r="W69" s="93"/>
      <c r="X69" s="93"/>
    </row>
    <row r="70" spans="1:24" ht="13" x14ac:dyDescent="0.25">
      <c r="U70" s="1"/>
      <c r="V70" s="1"/>
      <c r="W70" s="93"/>
      <c r="X70" s="93"/>
    </row>
    <row r="71" spans="1:24" x14ac:dyDescent="0.25">
      <c r="U71" s="1"/>
      <c r="V71" s="1"/>
      <c r="W71" s="1"/>
      <c r="X71" s="1"/>
    </row>
    <row r="73" spans="1:24" x14ac:dyDescent="0.25">
      <c r="B73"/>
      <c r="C73" s="35"/>
      <c r="D73" s="35"/>
      <c r="E73"/>
      <c r="F73" s="35"/>
      <c r="G73" s="35"/>
      <c r="H73" s="35"/>
    </row>
  </sheetData>
  <sheetProtection password="A656" sheet="1" formatCells="0" formatColumns="0" formatRows="0" selectLockedCells="1"/>
  <dataConsolidate link="1"/>
  <mergeCells count="166">
    <mergeCell ref="E10:G10"/>
    <mergeCell ref="I29:N32"/>
    <mergeCell ref="P29:S32"/>
    <mergeCell ref="B13:D13"/>
    <mergeCell ref="B14:D14"/>
    <mergeCell ref="B15:D15"/>
    <mergeCell ref="B16:D16"/>
    <mergeCell ref="B17:D17"/>
    <mergeCell ref="B18:D18"/>
    <mergeCell ref="I8:J10"/>
    <mergeCell ref="B24:D24"/>
    <mergeCell ref="E8:G8"/>
    <mergeCell ref="U12:X12"/>
    <mergeCell ref="U13:X14"/>
    <mergeCell ref="U15:X15"/>
    <mergeCell ref="L13:N13"/>
    <mergeCell ref="L14:N14"/>
    <mergeCell ref="L15:N15"/>
    <mergeCell ref="B60:R63"/>
    <mergeCell ref="B20:E20"/>
    <mergeCell ref="N40:P40"/>
    <mergeCell ref="N41:P41"/>
    <mergeCell ref="N36:P36"/>
    <mergeCell ref="E48:I48"/>
    <mergeCell ref="G54:I54"/>
    <mergeCell ref="O54:S54"/>
    <mergeCell ref="O55:S55"/>
    <mergeCell ref="O56:S56"/>
    <mergeCell ref="O57:S57"/>
    <mergeCell ref="Q40:S40"/>
    <mergeCell ref="B34:S34"/>
    <mergeCell ref="B26:G27"/>
    <mergeCell ref="E28:G28"/>
    <mergeCell ref="M57:N57"/>
    <mergeCell ref="J54:L54"/>
    <mergeCell ref="J53:L53"/>
    <mergeCell ref="M53:N53"/>
    <mergeCell ref="M54:N54"/>
    <mergeCell ref="M55:N55"/>
    <mergeCell ref="M56:N56"/>
    <mergeCell ref="C48:C49"/>
    <mergeCell ref="B47:S47"/>
    <mergeCell ref="Q36:S36"/>
    <mergeCell ref="Q37:S37"/>
    <mergeCell ref="B48:B49"/>
    <mergeCell ref="H43:K43"/>
    <mergeCell ref="D48:D49"/>
    <mergeCell ref="G49:I49"/>
    <mergeCell ref="N44:P44"/>
    <mergeCell ref="N45:P45"/>
    <mergeCell ref="N37:P37"/>
    <mergeCell ref="M52:N52"/>
    <mergeCell ref="I7:K7"/>
    <mergeCell ref="M58:N58"/>
    <mergeCell ref="G57:I57"/>
    <mergeCell ref="N38:P38"/>
    <mergeCell ref="N39:P39"/>
    <mergeCell ref="O51:S51"/>
    <mergeCell ref="M59:N59"/>
    <mergeCell ref="J58:L58"/>
    <mergeCell ref="J59:L59"/>
    <mergeCell ref="J57:L57"/>
    <mergeCell ref="O58:S58"/>
    <mergeCell ref="O50:S50"/>
    <mergeCell ref="O59:S59"/>
    <mergeCell ref="J50:L50"/>
    <mergeCell ref="G58:I58"/>
    <mergeCell ref="G59:I59"/>
    <mergeCell ref="J55:L55"/>
    <mergeCell ref="J56:L56"/>
    <mergeCell ref="G55:I55"/>
    <mergeCell ref="J51:L51"/>
    <mergeCell ref="M50:N50"/>
    <mergeCell ref="M51:N51"/>
    <mergeCell ref="J52:L52"/>
    <mergeCell ref="G56:I56"/>
    <mergeCell ref="L2:M2"/>
    <mergeCell ref="H35:K35"/>
    <mergeCell ref="H36:K36"/>
    <mergeCell ref="H37:K37"/>
    <mergeCell ref="Q39:S39"/>
    <mergeCell ref="L23:N23"/>
    <mergeCell ref="L26:N26"/>
    <mergeCell ref="L27:N27"/>
    <mergeCell ref="L28:N28"/>
    <mergeCell ref="H38:K38"/>
    <mergeCell ref="H39:K39"/>
    <mergeCell ref="P5:S5"/>
    <mergeCell ref="P12:S12"/>
    <mergeCell ref="P20:S20"/>
    <mergeCell ref="P27:S28"/>
    <mergeCell ref="I20:N20"/>
    <mergeCell ref="L22:N22"/>
    <mergeCell ref="L6:N6"/>
    <mergeCell ref="P23:S25"/>
    <mergeCell ref="L19:N19"/>
    <mergeCell ref="I17:N18"/>
    <mergeCell ref="L24:N25"/>
    <mergeCell ref="Q35:S35"/>
    <mergeCell ref="N35:P35"/>
    <mergeCell ref="U38:X43"/>
    <mergeCell ref="U50:X53"/>
    <mergeCell ref="H44:K44"/>
    <mergeCell ref="H45:K45"/>
    <mergeCell ref="H40:K40"/>
    <mergeCell ref="H41:K41"/>
    <mergeCell ref="J48:L49"/>
    <mergeCell ref="G53:I53"/>
    <mergeCell ref="G52:I52"/>
    <mergeCell ref="N42:P42"/>
    <mergeCell ref="Q38:S38"/>
    <mergeCell ref="H42:K42"/>
    <mergeCell ref="G50:I50"/>
    <mergeCell ref="O52:S52"/>
    <mergeCell ref="G51:I51"/>
    <mergeCell ref="O53:S53"/>
    <mergeCell ref="Q42:S42"/>
    <mergeCell ref="O48:S49"/>
    <mergeCell ref="Q41:S41"/>
    <mergeCell ref="Q43:S43"/>
    <mergeCell ref="Q44:S44"/>
    <mergeCell ref="Q45:S45"/>
    <mergeCell ref="M48:N49"/>
    <mergeCell ref="N43:P43"/>
    <mergeCell ref="B5:E5"/>
    <mergeCell ref="I12:N12"/>
    <mergeCell ref="I5:N5"/>
    <mergeCell ref="P16:S18"/>
    <mergeCell ref="L7:N7"/>
    <mergeCell ref="L8:N8"/>
    <mergeCell ref="L9:N9"/>
    <mergeCell ref="L10:N10"/>
    <mergeCell ref="E18:G18"/>
    <mergeCell ref="B6:B9"/>
    <mergeCell ref="E6:G6"/>
    <mergeCell ref="E7:G7"/>
    <mergeCell ref="E9:G9"/>
    <mergeCell ref="E13:G13"/>
    <mergeCell ref="E14:G14"/>
    <mergeCell ref="E15:G15"/>
    <mergeCell ref="E16:G16"/>
    <mergeCell ref="B12:E12"/>
    <mergeCell ref="I13:K13"/>
    <mergeCell ref="I14:K14"/>
    <mergeCell ref="I15:K15"/>
    <mergeCell ref="E17:G17"/>
    <mergeCell ref="I16:K16"/>
    <mergeCell ref="I6:K6"/>
    <mergeCell ref="U30:X33"/>
    <mergeCell ref="B30:G32"/>
    <mergeCell ref="B28:D28"/>
    <mergeCell ref="U16:X27"/>
    <mergeCell ref="I24:K25"/>
    <mergeCell ref="I26:K26"/>
    <mergeCell ref="L16:N16"/>
    <mergeCell ref="I21:K21"/>
    <mergeCell ref="P15:S15"/>
    <mergeCell ref="E21:G21"/>
    <mergeCell ref="B22:D22"/>
    <mergeCell ref="B23:D23"/>
    <mergeCell ref="B21:D21"/>
    <mergeCell ref="B29:G29"/>
    <mergeCell ref="E22:G22"/>
    <mergeCell ref="E23:G23"/>
    <mergeCell ref="L21:N21"/>
    <mergeCell ref="E24:G24"/>
  </mergeCells>
  <conditionalFormatting sqref="P23">
    <cfRule type="expression" dxfId="22" priority="100">
      <formula>$S$21="Yes"</formula>
    </cfRule>
  </conditionalFormatting>
  <conditionalFormatting sqref="L13">
    <cfRule type="expression" dxfId="21" priority="88">
      <formula>AND(SEC_AGENT_NAME="",OR(SEC_AGENT_PHONE&lt;&gt;"",SEC_AGENT_FAX&lt;&gt;"",SEC_AGENT_EMAIL&lt;&gt;""))</formula>
    </cfRule>
    <cfRule type="expression" dxfId="20" priority="94">
      <formula>AND(OR(SEC_AGENT_PHONE&lt;&gt;"",SEC_AGENT_FAX&lt;&gt;"",SEC_AGENT_EMAIL&lt;&gt;""),SEC_AGENT_NAME="")</formula>
    </cfRule>
  </conditionalFormatting>
  <conditionalFormatting sqref="L14:L16">
    <cfRule type="expression" dxfId="19" priority="87">
      <formula>AND(SEC_AGENT_NAME&lt;&gt;"",SEC_AGENT_PHONE="",SEC_AGENT_FAX="",SEC_AGENT_EMAIL="")</formula>
    </cfRule>
  </conditionalFormatting>
  <conditionalFormatting sqref="I24">
    <cfRule type="expression" dxfId="18" priority="85">
      <formula>AND(SEC_ISSC_ISVALID="TRUE")</formula>
    </cfRule>
  </conditionalFormatting>
  <conditionalFormatting sqref="Q36:Q45">
    <cfRule type="expression" dxfId="17" priority="438">
      <formula>$N36="Yes"</formula>
    </cfRule>
  </conditionalFormatting>
  <conditionalFormatting sqref="I29:N32">
    <cfRule type="expression" dxfId="16" priority="33">
      <formula>$L$27="FALSE"</formula>
    </cfRule>
  </conditionalFormatting>
  <conditionalFormatting sqref="V11">
    <cfRule type="containsErrors" dxfId="15" priority="31">
      <formula>ISERROR(V11)</formula>
    </cfRule>
  </conditionalFormatting>
  <conditionalFormatting sqref="L2">
    <cfRule type="expression" dxfId="14" priority="18">
      <formula>SEC_STATUS="Invalid"</formula>
    </cfRule>
    <cfRule type="expression" dxfId="13" priority="19">
      <formula>SEC_STATUS="VALID"</formula>
    </cfRule>
  </conditionalFormatting>
  <conditionalFormatting sqref="I28:N28">
    <cfRule type="expression" dxfId="12" priority="16">
      <formula>AND(SEC_ISSC_ISVALID="FALSE",SEC_ISSC_REASON="")</formula>
    </cfRule>
  </conditionalFormatting>
  <conditionalFormatting sqref="I21:K21">
    <cfRule type="expression" dxfId="11" priority="12">
      <formula>AND(SEC_ISSC_ISVALID="TRUE")</formula>
    </cfRule>
  </conditionalFormatting>
  <conditionalFormatting sqref="Q35:S35">
    <cfRule type="expression" dxfId="10" priority="9">
      <formula>NOT(ISNA(VLOOKUP("Yes",SEC_LAST_MEASURESYORN,1,FALSE)))</formula>
    </cfRule>
  </conditionalFormatting>
  <conditionalFormatting sqref="I26:K26">
    <cfRule type="expression" dxfId="9" priority="8">
      <formula>AND(SEC_ISSC_ISVALID="TRUE")</formula>
    </cfRule>
  </conditionalFormatting>
  <conditionalFormatting sqref="C48:D49 E48:I48 J48:L49">
    <cfRule type="expression" dxfId="8" priority="6">
      <formula xml:space="preserve"> OR( NOT(SUMPRODUCT(--($C$50:$L$59&lt;&gt;""))=0), NOT(ISNA(VLOOKUP("Yes",SEC_SHIP_MEASURESYORN,1,FALSE))) )</formula>
    </cfRule>
  </conditionalFormatting>
  <conditionalFormatting sqref="O48:S49">
    <cfRule type="expression" dxfId="7" priority="5">
      <formula>NOT(ISNA(VLOOKUP("Yes",SEC_SHIP_MEASURESYORN,1,FALSE)))</formula>
    </cfRule>
  </conditionalFormatting>
  <conditionalFormatting sqref="L2:M2">
    <cfRule type="expression" dxfId="6" priority="2">
      <formula>SEC_STATUS="Empty"</formula>
    </cfRule>
  </conditionalFormatting>
  <conditionalFormatting sqref="F35:G35 C35:D35 L35:M35">
    <cfRule type="expression" dxfId="5" priority="635">
      <formula xml:space="preserve"> OR( NOT(SUMPRODUCT(--($C$36:$G$45&lt;&gt;""))=0), NOT(SUMPRODUCT(--(SEC_LAST_SECLEVEL&lt;&gt;""))=0), NOT(ISNA(VLOOKUP("Yes",SEC_LAST_MEASURESYORN,1,FALSE))) )</formula>
    </cfRule>
  </conditionalFormatting>
  <conditionalFormatting sqref="O50:S59">
    <cfRule type="expression" dxfId="4" priority="642">
      <formula>M50="Yes"</formula>
    </cfRule>
  </conditionalFormatting>
  <conditionalFormatting sqref="L26">
    <cfRule type="expression" dxfId="3" priority="666">
      <formula>AND(L26="",OR(K26&lt;&gt;"",M26&lt;&gt;"",#REF!&lt;&gt;"",O26&lt;&gt;"",Q26&lt;&gt;"",U29&lt;&gt;"",#REF!&lt;&gt;""))</formula>
    </cfRule>
  </conditionalFormatting>
  <conditionalFormatting sqref="U13">
    <cfRule type="containsErrors" dxfId="2" priority="1">
      <formula>ISERROR(U13)</formula>
    </cfRule>
  </conditionalFormatting>
  <dataValidations xWindow="684" yWindow="494" count="62">
    <dataValidation type="list" allowBlank="1" showInputMessage="1" showErrorMessage="1" promptTitle="FAL 5 " prompt="Select 'Yes' or 'No' from the dropdown menu." sqref="S14" xr:uid="{00000000-0002-0000-0600-000000000000}">
      <formula1>REF_YES_NO</formula1>
    </dataValidation>
    <dataValidation type="list" allowBlank="1" showInputMessage="1" showErrorMessage="1" error="Select from dropdown_x000a_" promptTitle="Approved security plan?" prompt="Does the ship has an approved security plan on board?_x000a__x000a_Choose 'Yes' or 'No' from dropdown menu" sqref="S9" xr:uid="{00000000-0002-0000-0600-000001000000}">
      <formula1>REF_YES_NO</formula1>
    </dataValidation>
    <dataValidation errorStyle="warning" operator="greaterThan" allowBlank="1" errorTitle="Warning" error="Invalid date format" promptTitle="Date format" prompt="dd/mm/yyyy" sqref="B36:B45 B50:B59" xr:uid="{00000000-0002-0000-0600-000002000000}"/>
    <dataValidation allowBlank="1" showInputMessage="1" showErrorMessage="1" prompt="X2/9.2.1.3_x000a_" sqref="B34" xr:uid="{00000000-0002-0000-0600-000003000000}"/>
    <dataValidation allowBlank="1" showInputMessage="1" showErrorMessage="1" prompt="(XI-2/9.2.1.5)_x000a__x000a_" sqref="B47" xr:uid="{00000000-0002-0000-0600-000004000000}"/>
    <dataValidation type="list" allowBlank="1" showInputMessage="1" showErrorMessage="1" errorTitle="Error" promptTitle="FAL 6" prompt="Select 'Yes' or 'No' from the dropdown menu." sqref="S13" xr:uid="{00000000-0002-0000-0600-000005000000}">
      <formula1>REF_YES_NO</formula1>
    </dataValidation>
    <dataValidation type="date" allowBlank="1" showInputMessage="1" showErrorMessage="1" error="Invalid date. Try inserting the date in the same format as your computer system's date format." promptTitle="Date to" prompt="The date the ship-to-ship activity ended_x000a__x000a_Should be in Excel date format_x000a_" sqref="D50:D59" xr:uid="{00000000-0002-0000-0600-000006000000}">
      <formula1>1</formula1>
      <formula2>73051</formula2>
    </dataValidation>
    <dataValidation type="date" allowBlank="1" showInputMessage="1" showErrorMessage="1" error="Invalid date. Try inserting the date in the same format as your computer system's date format." promptTitle="Date of arrival" prompt="The date of arrival at port_x000a__x000a_Should be in Excel date format" sqref="C36:C45" xr:uid="{00000000-0002-0000-0600-000007000000}">
      <formula1>1</formula1>
      <formula2>73051</formula2>
    </dataValidation>
    <dataValidation type="list" allowBlank="1" showInputMessage="1" showErrorMessage="1" errorTitle="Invalid Security Level" error="Please select from the drop-down list" promptTitle="Current Security Level" prompt="The vessels current security level  (XI-2/9.2.1.2)_x000a__x000a_Choose from dropdown menu" sqref="S8" xr:uid="{00000000-0002-0000-0600-000008000000}">
      <formula1>REF_SECURITYLEVELS_OPTIONS</formula1>
    </dataValidation>
    <dataValidation allowBlank="1" showInputMessage="1" sqref="E16:F16" xr:uid="{00000000-0002-0000-0600-000009000000}"/>
    <dataValidation type="textLength" allowBlank="1" showInputMessage="1" showErrorMessage="1" errorTitle="Data Provider" error="Must be between 3 and 32 characters" promptTitle="Data Provider" prompt="The person or entity completing or responsible for the data_x000a__x000a_Must be between 3 and 32 characters" sqref="S6" xr:uid="{00000000-0002-0000-0600-00000A000000}">
      <formula1>3</formula1>
      <formula2>32</formula2>
    </dataValidation>
    <dataValidation allowBlank="1" prompt="Security related matter to report, if any. Max. 255 characters." sqref="P21:P22" xr:uid="{00000000-0002-0000-0600-00000B000000}"/>
    <dataValidation type="list" allowBlank="1" showInputMessage="1" showErrorMessage="1" error="Select 'Yes' or 'No' from the dropdown" promptTitle="Related security matter?" prompt="Does the vessel have a related security matter to report?_x000a__x000a_Choose 'Yes' or 'No' from dropdown menu_x000a_" sqref="S21" xr:uid="{00000000-0002-0000-0600-00000C000000}">
      <formula1>"No, Yes"</formula1>
    </dataValidation>
    <dataValidation type="date" allowBlank="1" showInputMessage="1" showErrorMessage="1" error="Invalid date. Try inserting the date in the same format as your computer system's date format." promptTitle="Date of departure" prompt="The date of departure from port_x000a__x000a_Should be in Excel date format" sqref="D36:D45" xr:uid="{00000000-0002-0000-0600-00000E000000}">
      <formula1>1</formula1>
      <formula2>73051</formula2>
    </dataValidation>
    <dataValidation type="date" allowBlank="1" showInputMessage="1" showErrorMessage="1" error="Invalid date. Try inserting the date in the same format as your computer system's date format." promptTitle="Date from" prompt="The date the ship-to-ship activity started_x000a__x000a_Should be in Excel date format_x000a_" sqref="C50:C59" xr:uid="{00000000-0002-0000-0600-00000F000000}">
      <formula1>1</formula1>
      <formula2>73051</formula2>
    </dataValidation>
    <dataValidation type="custom" allowBlank="1" showInputMessage="1" showErrorMessage="1" error="Must be between -54000000 and  54000000 or 54600000" promptTitle="Latitude" prompt="Latitude in 1/10000 min. (+/- 90 degrees; North = positive;_x000a_South = negative; 91 = not available)_x000a__x000a_At least one location element (Latitude/Longitude, Location name) must be provided_x000a__x000a_Must be between -54000000 and  54000000 or 54600000" sqref="E50:E59" xr:uid="{00000000-0002-0000-0600-000010000000}">
      <formula1>OR(AND((E50&gt;-54000001),(E50&lt;54000001)), (E50=54600000))</formula1>
    </dataValidation>
    <dataValidation type="textLength" allowBlank="1" showInputMessage="1" showErrorMessage="1" errorTitle="Invalid input" error="Must be 4 digits" promptTitle="IMO Port facility number" prompt="The Port facility number for the port call_x000a__x000a_Must be four digits_x000a__x000a_" sqref="G36:G45" xr:uid="{00000000-0002-0000-0600-000011000000}">
      <formula1>4</formula1>
      <formula2>4</formula2>
    </dataValidation>
    <dataValidation type="list" allowBlank="1" showInputMessage="1" showErrorMessage="1" promptTitle="Ship-to-ship activity" prompt="The primary ship-to-ship activity undertaken_x000a__x000a_Choose from dropdown menu_x000a__x000a_" sqref="J50:L59" xr:uid="{00000000-0002-0000-0600-000012000000}">
      <formula1>REF_ACTIVITY</formula1>
    </dataValidation>
    <dataValidation type="custom" operator="equal" allowBlank="1" showDropDown="1" showInputMessage="1" showErrorMessage="1" error="Invalid LOCODE: must be 5 characters of letters and numbers with no spaces." promptTitle="Port LOCODE" prompt="The LOCODE of the port at which the vessel called_x000a__x000a_Can be any valid LOCODE, not just function 1/7_x000a__x000a_Must be valid LOCODE" sqref="F36:F45" xr:uid="{00000000-0002-0000-0600-000016000000}">
      <formula1>IFERROR(AND(SUMPRODUCT(SEARCH(MID(F36,ROW(INDIRECT("1:"&amp;LEN(F36))),1),"abcdefghijklmnopqrstuvwxyz0123456789")),LEN(F36)=5),FALSE)</formula1>
    </dataValidation>
    <dataValidation type="textLength" allowBlank="1" showInputMessage="1" showErrorMessage="1" error="Max 50 characters." promptTitle="Country" prompt="The country in which the port call took place_x000a__x000a_Max 50 characters" sqref="E36:E45" xr:uid="{00000000-0002-0000-0600-000025000000}">
      <formula1>0</formula1>
      <formula2>50</formula2>
    </dataValidation>
    <dataValidation type="list" allowBlank="1" showInputMessage="1" showErrorMessage="1" error="Select from dropdown_x000a_" promptTitle="Security level" prompt="The security level of the Vessel during the port call according to the ISPS code_x000a__x000a_Choose from dropdown menu" sqref="M36:M45" xr:uid="{00000000-0002-0000-0600-000027000000}">
      <formula1>REF_SECURITYLEVELS_OPTIONS</formula1>
    </dataValidation>
    <dataValidation type="textLength" allowBlank="1" showInputMessage="1" showErrorMessage="1" error="Max. 255 characters. " prompt="Special or additional security measures taken by the ship  (XI-2/9.2.1.4)_x000a__x000a_Max. 255 characters" sqref="Q36:S45" xr:uid="{00000000-0002-0000-0600-000028000000}">
      <formula1>0</formula1>
      <formula2>255</formula2>
    </dataValidation>
    <dataValidation type="textLength" allowBlank="1" showInputMessage="1" showErrorMessage="1" error="Max 255 characters." promptTitle="Security measures applied" prompt="Details of the security measures applied in lieu of the SSP (XI-2/9.2.1.5)_x000a__x000a_Required if Security measures were applied in lieu of SSP_x000a__x000a_Max. 255 characters_x000a_" sqref="O50:O59 P51:S59" xr:uid="{00000000-0002-0000-0600-00002A000000}">
      <formula1>1</formula1>
      <formula2>255</formula2>
    </dataValidation>
    <dataValidation type="textLength" allowBlank="1" showInputMessage="1" showErrorMessage="1" error="Max 255 characters." promptTitle="Purpose of call" prompt="The primary purpose of the port call_x000a__x000a_Max 255 characters" sqref="P29:S32" xr:uid="{00000000-0002-0000-0600-00002D000000}">
      <formula1>0</formula1>
      <formula2>255</formula2>
    </dataValidation>
    <dataValidation type="textLength" operator="lessThanOrEqual" allowBlank="1" showInputMessage="1" showErrorMessage="1" error="Max 255 characters." promptTitle="Brief cargo description" prompt="Brief description of the vessel's cargo_x000a__x000a_Max 255 characters" sqref="P16:S18" xr:uid="{00000000-0002-0000-0600-000037000000}">
      <formula1>255</formula1>
    </dataValidation>
    <dataValidation type="textLength" allowBlank="1" showInputMessage="1" showErrorMessage="1" error="Max 255 characters." promptTitle="Related security matter desc" prompt="Description of the related security matter_x000a__x000a_If used 'Related security matter?' should be 'Yes'_x000a__x000a_Max 255 characters" sqref="P23:S25" xr:uid="{00000000-0002-0000-0600-000038000000}">
      <formula1>0</formula1>
      <formula2>255</formula2>
    </dataValidation>
    <dataValidation type="list" allowBlank="1" showInputMessage="1" showErrorMessage="1" promptTitle="Security measures" prompt="Were special or additional security measures taken during the port call?_x000a__x000a_Choose from dropdown menu_x000a__x000a_" sqref="N36:P45" xr:uid="{00000000-0002-0000-0600-000039000000}">
      <formula1>"Yes, None"</formula1>
    </dataValidation>
    <dataValidation type="custom" allowBlank="1" showInputMessage="1" showErrorMessage="1" errorTitle="Invalid input" error="Longitude must be between -108000000 and +108000000 or 108600000" promptTitle="Longitude" prompt="Longitude in 1/10000 min. (+/- 180 degrees; East = positive;_x000a_West = negative; 181 = not available)_x000a__x000a_At least one location element (Latitude/Longitude, Location name) must be provided_x000a__x000a_Longitude must be between -108000000 and +108000000 or 108600000" sqref="F50:F59" xr:uid="{00000000-0002-0000-0600-00003A000000}">
      <formula1>OR(AND((F50&gt;-108000001),(F50&lt;108000001)), (F50=108600000))</formula1>
    </dataValidation>
    <dataValidation type="textLength" allowBlank="1" showInputMessage="1" showErrorMessage="1" sqref="P19" xr:uid="{00000000-0002-0000-0600-00003D000000}">
      <formula1>0</formula1>
      <formula2>255</formula2>
    </dataValidation>
    <dataValidation type="textLength" allowBlank="1" showInputMessage="1" showErrorMessage="1" error="Max 50 characters." promptTitle="Port Facility" prompt="The name of the port facility the vessel used during the port call_x000a__x000a_Max 50 characters" sqref="L36:L45" xr:uid="{00000000-0002-0000-0600-000026000000}">
      <formula1>0</formula1>
      <formula2>50</formula2>
    </dataValidation>
    <dataValidation type="textLength" allowBlank="1" showInputMessage="1" showErrorMessage="1" errorTitle="Invalid Input" error="Max 50 characters." promptTitle="Last name" prompt="The last name of the CSO_x000a__x000a_Max 50 characters" sqref="L7:N7" xr:uid="{00000000-0002-0000-0600-00000D000000}">
      <formula1>0</formula1>
      <formula2>50</formula2>
    </dataValidation>
    <dataValidation type="custom" allowBlank="1" showInputMessage="1" showErrorMessage="1" errorTitle="Invalid Input" error="Max 16 characters. Only numerals (0-9) and (&quot;+&quot;) are allowed." promptTitle="Phone" prompt="The Phone number of the CSO_x000a__x000a_Include country code_x000a__x000a_Max 16 characters. Only numerals (0-9) and (&quot;+&quot;) are allowed" sqref="L8:N8" xr:uid="{00000000-0002-0000-0600-000013000000}">
      <formula1>AND(ISNUMBER(SUMPRODUCT(SEARCH(MID(L8,ROW(INDIRECT("1:"&amp;LEN(L8))),1),"0123456789+"))),LEN(L8)&lt;=16)</formula1>
    </dataValidation>
    <dataValidation type="custom" allowBlank="1" showInputMessage="1" showErrorMessage="1" error="Must contain an &quot;@&quot;, can not contain spaces and must be less than 50 characters." promptTitle="Email" prompt="The email of the CSO_x000a__x000a_Must contain an &quot;@&quot;, can not contain spaces and must be less than 50 characters" sqref="L10:N10" xr:uid="{00000000-0002-0000-0600-000014000000}">
      <formula1>IF(OR(ISBLANK(SEC_CSO_EMAIL),AND(NOT(ISERROR(SEARCH("@",SEC_CSO_EMAIL))),ISERROR(SEARCH(" ",SEC_CSO_EMAIL)),LEN(SEC_CSO_EMAIL)&lt;=50)),TRUE(),FALSE())</formula1>
    </dataValidation>
    <dataValidation type="textLength" allowBlank="1" showInputMessage="1" showErrorMessage="1" errorTitle="Invalid Input" error="Max 50 characters." promptTitle="First name" prompt="The first name of the CSO_x000a__x000a_Max 50 characters" sqref="L6:N6" xr:uid="{00000000-0002-0000-0600-000015000000}">
      <formula1>0</formula1>
      <formula2>50</formula2>
    </dataValidation>
    <dataValidation type="custom" allowBlank="1" showInputMessage="1" showErrorMessage="1" error="Max 16 characters. Only numerals (0-9) and (&quot;+&quot;) are allowed." promptTitle="Fax" prompt="The fax number of the ship's agent_x000a__x000a_Include country code_x000a__x000a_Max 16 characters. Only numerals (0-9) and (&quot;+&quot;) are allowed" sqref="L15:N15" xr:uid="{00000000-0002-0000-0600-00001C000000}">
      <formula1>AND(ISNUMBER(SUMPRODUCT(SEARCH(MID(L15,ROW(INDIRECT("1:"&amp;LEN(L15))),1),"0123456789+"))),LEN(L15)&lt;=16)</formula1>
    </dataValidation>
    <dataValidation type="custom" allowBlank="1" showInputMessage="1" showErrorMessage="1" error="Max 16 characters. Only numerals (0-9) and (&quot;+&quot;) are allowed." promptTitle="Phone" prompt="The Phone number of the ship's agent_x000a__x000a_Include country code_x000a__x000a_Max 16 characters. Only numerals (0-9) and (&quot;+&quot;) are allowed" sqref="L14:N14" xr:uid="{00000000-0002-0000-0600-00001D000000}">
      <formula1>AND(ISNUMBER(SUMPRODUCT(SEARCH(MID(L14,ROW(INDIRECT("1:"&amp;LEN(L14))),1),"0123456789+"))),LEN(L14)&lt;=16)</formula1>
    </dataValidation>
    <dataValidation type="custom" allowBlank="1" showInputMessage="1" showErrorMessage="1" error="Must contain an &quot;@&quot;, can not contain spaces and must be less than 50 characters." promptTitle="Email" prompt="The email of the ship's agent_x000a__x000a_Must contain an &quot;@&quot;, can not contain spaces and must be less than 50 characters" sqref="L16:N16" xr:uid="{00000000-0002-0000-0600-00001E000000}">
      <formula1>IF(OR(ISBLANK(SEC_AGENT_EMAIL),AND(NOT(ISERROR(SEARCH("@",SEC_AGENT_EMAIL))),ISERROR(SEARCH(" ",SEC_AGENT_EMAIL)),LEN(SEC_AGENT_EMAIL)&lt;=50)),TRUE(),FALSE())</formula1>
    </dataValidation>
    <dataValidation type="textLength" allowBlank="1" showInputMessage="1" showErrorMessage="1" error="Max 50 characters." promptTitle="Name" prompt="The name of the ship's agent_x000a__x000a_Max 50 characters" sqref="L13:N13" xr:uid="{00000000-0002-0000-0600-00001F000000}">
      <formula1>0</formula1>
      <formula2>50</formula2>
    </dataValidation>
    <dataValidation type="list" allowBlank="1" showInputMessage="1" showErrorMessage="1" error="Select from dropdown" promptTitle="ISSC type" prompt="Whether the vessel is using a full or interim ISSC_x000a__x000a_Choose from dropdown menu_x000a_" sqref="L21:N21" xr:uid="{00000000-0002-0000-0600-000020000000}">
      <formula1>ISSC_types</formula1>
    </dataValidation>
    <dataValidation type="textLength" allowBlank="1" showInputMessage="1" showErrorMessage="1" error="Max 35 characters." promptTitle="ISSC number" prompt="The vessels ISSC number_x000a__x000a_Max 35 characters" sqref="L22:N22" xr:uid="{00000000-0002-0000-0600-000021000000}">
      <formula1>0</formula1>
      <formula2>35</formula2>
    </dataValidation>
    <dataValidation type="list" allowBlank="1" showInputMessage="1" showErrorMessage="1" error="Select from dropdown" promptTitle="Issuer type" prompt="Indicate the type of ISSC issuing authority_x000a__x000a_'GVT' for contracting government or 'RSO' for recognized security organization_x000a__x000a_Choose from dropdown menu_x000a_" sqref="L23:N23" xr:uid="{00000000-0002-0000-0600-000022000000}">
      <formula1>REF_ISSUER_TYPE</formula1>
    </dataValidation>
    <dataValidation type="textLength" allowBlank="1" showInputMessage="1" showErrorMessage="1" error="Max. 255 characters." promptTitle="Issuer" prompt="Name of the ISSC issuing body_x000a__x000a_Max 255 characters" sqref="L24:N25" xr:uid="{00000000-0002-0000-0600-000023000000}">
      <formula1>0</formula1>
      <formula2>255</formula2>
    </dataValidation>
    <dataValidation type="list" allowBlank="1" showInputMessage="1" showErrorMessage="1" error="Select from dropdown" promptTitle="ISSC is valid?" prompt="Indicates if the ship has a valid International Ship Security Certificate (ISSC). (XI-2/9.2.1.1)_x000a__x000a_Choose from dropdown menu_x000a_" sqref="L27:N27" xr:uid="{00000000-0002-0000-0600-000024000000}">
      <formula1>"TRUE, FALSE"</formula1>
    </dataValidation>
    <dataValidation type="custom" allowBlank="1" showInputMessage="1" showErrorMessage="1" error="Only allowed if 'ISSC is valid?' is 'FALSE'_x000a__x000a_Max 255 characters." promptTitle="Invalid ISSC" prompt="Reason for invalid ISSC_x000a__x000a_Only to be used if 'ISSC is valid' is 'FALSE'_x000a__x000a_ Max 255 characters" sqref="I29:N32" xr:uid="{00000000-0002-0000-0600-00002C000000}">
      <formula1>AND(LEN(INDEX(SEC_ISSC_REASON,1,1)&lt;256),INDEX(SEC_ISSC_ISVALID,1,1)&lt;&gt;"TRUE")</formula1>
    </dataValidation>
    <dataValidation type="custom" allowBlank="1" showInputMessage="1" showErrorMessage="1" error="Max 16 characters. Only numerals (0-9) and (&quot;+&quot;) are allowed." promptTitle="Fax" prompt="The fax number of the CSO_x000a__x000a_Include country code_x000a__x000a_Max 16 characters. Only numerals (0-9) and (&quot;+&quot;) are allowed" sqref="L9:N9" xr:uid="{00000000-0002-0000-0600-000035000000}">
      <formula1>AND(ISNUMBER(SUMPRODUCT(SEARCH(MID(L9,ROW(INDIRECT("1:"&amp;LEN(L9))),1),"0123456789+"))),LEN(L9)&lt;=16)</formula1>
    </dataValidation>
    <dataValidation type="date" allowBlank="1" showInputMessage="1" showErrorMessage="1" error="Invalid date. Try inserting the date in the same format as your computer system's date format." promptTitle="Expiry" prompt="Date of ISSC expiry_x000a__x000a_Should be in Excel date format" sqref="L26:N26" xr:uid="{00000000-0002-0000-0600-000036000000}">
      <formula1>1</formula1>
      <formula2>73051</formula2>
    </dataValidation>
    <dataValidation type="list" allowBlank="1" showInputMessage="1" showErrorMessage="1" promptTitle="Security measures applied" prompt="Were security measures applied in lieu of the SSP?_x000a__x000a_Choose from dropdown menu" sqref="M50:N59" xr:uid="{00000000-0002-0000-0600-00003B000000}">
      <formula1>"Yes, None"</formula1>
    </dataValidation>
    <dataValidation type="whole" allowBlank="1" showInputMessage="1" showErrorMessage="1" error="Must be whole number, less than 1000000" promptTitle="Gross tonnage" prompt="The measure of the overall size of a ship_x000a__x000a_Must be whole number, less than 1000000" sqref="E13:G13" xr:uid="{00000000-0002-0000-0600-000017000000}">
      <formula1>0</formula1>
      <formula2>999999</formula2>
    </dataValidation>
    <dataValidation type="list" allowBlank="1" showInputMessage="1" showErrorMessage="1" error="Select from dropdown" promptTitle="Ship type" prompt="The ship type_x000a__x000a_Choose from dropdown menu_x000a_" sqref="E14:G14" xr:uid="{00000000-0002-0000-0600-000018000000}">
      <formula1>Ship_types</formula1>
    </dataValidation>
    <dataValidation type="textLength" allowBlank="1" showInputMessage="1" showErrorMessage="1" error="Max 35 characters." promptTitle="Certificate number" prompt="Number of the certification of registry_x000a__x000a_Max 35 characters" sqref="E22:G22" xr:uid="{00000000-0002-0000-0600-000019000000}">
      <formula1>1</formula1>
      <formula2>35</formula2>
    </dataValidation>
    <dataValidation type="textLength" allowBlank="1" showInputMessage="1" showErrorMessage="1" error="Max 70 characters." promptTitle="Company name" prompt="Name of ship's operating company, as defined in the ISM_x000a_code_x000a__x000a_Max 70 characters" sqref="E23:G23" xr:uid="{00000000-0002-0000-0600-00001A000000}">
      <formula1>0</formula1>
      <formula2>70</formula2>
    </dataValidation>
    <dataValidation type="textLength" operator="equal" allowBlank="1" showInputMessage="1" showErrorMessage="1" error="Must be 7 characters" promptTitle="Company IMO number" prompt="The IMO number of the operating company _x000a__x000a_Must be 7 characters" sqref="E24:G24" xr:uid="{00000000-0002-0000-0600-00001B000000}">
      <formula1>7</formula1>
    </dataValidation>
    <dataValidation type="textLength" allowBlank="1" showInputMessage="1" showErrorMessage="1" error="Max 255 characters" promptTitle="Location name" prompt="At least one location element (Latitude/Longitude, Location name) must be provided._x000a__x000a_Max 255 characters." sqref="G50:I59" xr:uid="{00000000-0002-0000-0600-000029000000}">
      <formula1>0</formula1>
      <formula2>255</formula2>
    </dataValidation>
    <dataValidation type="textLength" allowBlank="1" showInputMessage="1" showErrorMessage="1" error="Max 255 characters." promptTitle="Ship loc at time of reporting" prompt="The location of the ship at time of reporting _x000a__x000a_Max 255 characters" sqref="B30:G32" xr:uid="{00000000-0002-0000-0600-00002B000000}">
      <formula1>0</formula1>
      <formula2>255</formula2>
    </dataValidation>
    <dataValidation type="custom" showInputMessage="1" errorTitle="Error" error="IMO must be a 7 digit number" promptTitle="IMO number" prompt="IMO number of the vessel_x000a__x000a_Valid 7 digit number in correct IMO format" sqref="E6:G6" xr:uid="{00000000-0002-0000-0600-00002E000000}">
      <formula1>IF(ISBLANK(E6), TRUE(),IFERROR(IF(AND(LEN(TRIM(E6))=7,EXACT(MOD(RIGHT(LEFT(E6,1),1)*7+RIGHT(LEFT(E6,2),1)*6+RIGHT(LEFT(E6,3),1)*5+RIGHT(LEFT(E6,4),1)*4+RIGHT(LEFT(E6,5),1)*3+RIGHT(LEFT(E6,6),1)*2,10),RIGHT(LEFT(E6,7)))),TRUE(),FALSE()),FALSE()))</formula1>
    </dataValidation>
    <dataValidation type="textLength" allowBlank="1" showInputMessage="1" showErrorMessage="1" error="Max 35 characters." promptTitle="Ship name" prompt="Name of the vessel_x000a__x000a_Accepted characters are uppercase (A-Z) and lowercase letters (a-z), numerals (0-9) and the special characters dots (&quot;.&quot;), dashes (&quot;-&quot;) and single apostrophe (&quot;'&quot;)_x000a__x000a__x000a_Max 35 characters" sqref="E7:G7" xr:uid="{00000000-0002-0000-0600-00002F000000}">
      <formula1>0</formula1>
      <formula2>35</formula2>
    </dataValidation>
    <dataValidation type="textLength" allowBlank="1" showInputMessage="1" showErrorMessage="1" error="Max 7 characters" promptTitle="Call sign" prompt="Call sign of the vessel_x000a__x000a_Max 7 characters" sqref="E8:G8" xr:uid="{00000000-0002-0000-0600-000030000000}">
      <formula1>0</formula1>
      <formula2>7</formula2>
    </dataValidation>
    <dataValidation type="whole" allowBlank="1" showInputMessage="1" showErrorMessage="1" error="Must be a 9 digit number between 100000000 and 999999999" promptTitle="MMSI number" prompt="MMSI number of the vessel_x000a__x000a_Must be a 9 digit number between 100000000 and 999999999" sqref="E9:G9" xr:uid="{00000000-0002-0000-0600-000031000000}">
      <formula1>100000000</formula1>
      <formula2>999999999</formula2>
    </dataValidation>
    <dataValidation type="list" allowBlank="1" showInputMessage="1" showErrorMessage="1" error="Choose from dropdown menu" promptTitle="Flag state" prompt="Flag state of the vessel_x000a__x000a_Choose from dropdown menu" sqref="E10:G10" xr:uid="{00000000-0002-0000-0600-000032000000}">
      <formula1>REF_COUNTRIES</formula1>
    </dataValidation>
    <dataValidation type="date" allowBlank="1" showInputMessage="1" showErrorMessage="1" error="Invalid date. Try inserting the date in the same format as your computer system's date format." promptTitle="Date format" prompt="Date indicating when the certificate was issued_x000a__x000a_Should be in Excel date format" sqref="E21:G21" xr:uid="{00000000-0002-0000-0600-000033000000}">
      <formula1>1</formula1>
      <formula2>73051</formula2>
    </dataValidation>
    <dataValidation type="date" allowBlank="1" showInputMessage="1" showErrorMessage="1" error="Invalid date. Try inserting the date in the same format as your computer system's date format." promptTitle="Date of ship's last vist to UK" prompt="Date indicating when this ship last visited the UK_x000a__x000a_Should be in Excel date format" sqref="E28:G28" xr:uid="{00000000-0002-0000-0600-000034000000}">
      <formula1>1</formula1>
      <formula2>73051</formula2>
    </dataValidation>
    <dataValidation type="textLength" operator="equal" allowBlank="1" showDropDown="1" showInputMessage="1" showErrorMessage="1" error="Invalid LOCODE, must be 5 characters." promptTitle="LOCODE" prompt="Must be 5 characters." sqref="E18:G18" xr:uid="{00000000-0002-0000-0600-00003C000000}">
      <formula1>5</formula1>
    </dataValidation>
  </dataValidations>
  <pageMargins left="0.23622047244094488" right="0.23622047244094488" top="0.39370078740157483" bottom="0.39370078740157483" header="0.31496062992125984" footer="0.31496062992125984"/>
  <pageSetup paperSize="9" scale="60"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4" id="{BC977FA7-BDEE-464D-A1DD-CC67726388C6}">
            <xm:f>Validator!A13&lt;&gt;TRUE</xm:f>
            <x14:dxf>
              <fill>
                <patternFill>
                  <bgColor rgb="FFFF0000"/>
                </patternFill>
              </fill>
            </x14:dxf>
          </x14:cfRule>
          <xm:sqref>B36:B45</xm:sqref>
        </x14:conditionalFormatting>
        <x14:conditionalFormatting xmlns:xm="http://schemas.microsoft.com/office/excel/2006/main">
          <x14:cfRule type="expression" priority="3" id="{0063D44E-908F-4C4D-A20C-88DC75DE386A}">
            <xm:f>Validator!A23&lt;&gt;TRUE</xm:f>
            <x14:dxf>
              <fill>
                <patternFill>
                  <bgColor rgb="FFFF0000"/>
                </patternFill>
              </fill>
            </x14:dxf>
          </x14:cfRule>
          <xm:sqref>B50:B59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1">
    <tabColor theme="7"/>
    <pageSetUpPr fitToPage="1"/>
  </sheetPr>
  <dimension ref="A1:J38"/>
  <sheetViews>
    <sheetView zoomScale="85" zoomScaleNormal="85" workbookViewId="0">
      <pane ySplit="3" topLeftCell="A4" activePane="bottomLeft" state="frozen"/>
      <selection pane="bottomLeft" activeCell="B6" sqref="B6:I37"/>
    </sheetView>
  </sheetViews>
  <sheetFormatPr defaultRowHeight="12.5" x14ac:dyDescent="0.25"/>
  <cols>
    <col min="1" max="1" width="2.453125" customWidth="1"/>
    <col min="2" max="10" width="24.26953125" customWidth="1"/>
  </cols>
  <sheetData>
    <row r="1" spans="1:10" s="260" customFormat="1" ht="4.5" customHeight="1" x14ac:dyDescent="0.25"/>
    <row r="2" spans="1:10" s="77" customFormat="1" ht="20" x14ac:dyDescent="0.25">
      <c r="A2" s="74"/>
      <c r="B2" s="75" t="s">
        <v>703</v>
      </c>
      <c r="C2" s="76"/>
      <c r="D2" s="76"/>
      <c r="E2" s="76"/>
      <c r="F2" s="76"/>
      <c r="G2" s="76"/>
      <c r="H2" s="76"/>
      <c r="I2" s="76"/>
      <c r="J2" s="76"/>
    </row>
    <row r="3" spans="1:10" s="77" customFormat="1" ht="4.5" customHeight="1" x14ac:dyDescent="0.25">
      <c r="A3" s="74"/>
      <c r="B3" s="75"/>
      <c r="C3" s="76"/>
      <c r="D3" s="76"/>
      <c r="E3" s="76"/>
      <c r="F3" s="76"/>
      <c r="G3" s="76"/>
      <c r="H3" s="76"/>
      <c r="I3" s="76"/>
      <c r="J3" s="76"/>
    </row>
    <row r="4" spans="1:10" s="271" customFormat="1" ht="12.75" customHeight="1" x14ac:dyDescent="0.25">
      <c r="A4" s="268"/>
      <c r="B4" s="270"/>
      <c r="C4" s="269"/>
      <c r="D4" s="269"/>
      <c r="E4" s="269"/>
      <c r="F4" s="269"/>
      <c r="G4" s="269"/>
      <c r="H4" s="269"/>
      <c r="I4" s="269"/>
      <c r="J4" s="269"/>
    </row>
    <row r="5" spans="1:10" ht="13.5" customHeight="1" thickBot="1" x14ac:dyDescent="0.35">
      <c r="B5" s="104" t="s">
        <v>1394</v>
      </c>
      <c r="C5" s="103"/>
      <c r="D5" s="103"/>
      <c r="E5" s="103"/>
      <c r="F5" s="103"/>
      <c r="G5" s="103"/>
      <c r="H5" s="103"/>
      <c r="I5" s="103"/>
    </row>
    <row r="6" spans="1:10" ht="14.25" customHeight="1" thickTop="1" x14ac:dyDescent="0.25">
      <c r="B6" s="999"/>
      <c r="C6" s="1000"/>
      <c r="D6" s="1000"/>
      <c r="E6" s="1000"/>
      <c r="F6" s="1000"/>
      <c r="G6" s="1000"/>
      <c r="H6" s="1000"/>
      <c r="I6" s="1001"/>
    </row>
    <row r="7" spans="1:10" ht="14.25" customHeight="1" x14ac:dyDescent="0.25">
      <c r="B7" s="1002"/>
      <c r="C7" s="1003"/>
      <c r="D7" s="1003"/>
      <c r="E7" s="1003"/>
      <c r="F7" s="1003"/>
      <c r="G7" s="1003"/>
      <c r="H7" s="1003"/>
      <c r="I7" s="1004"/>
    </row>
    <row r="8" spans="1:10" ht="14.25" customHeight="1" x14ac:dyDescent="0.25">
      <c r="B8" s="1002"/>
      <c r="C8" s="1003"/>
      <c r="D8" s="1003"/>
      <c r="E8" s="1003"/>
      <c r="F8" s="1003"/>
      <c r="G8" s="1003"/>
      <c r="H8" s="1003"/>
      <c r="I8" s="1004"/>
    </row>
    <row r="9" spans="1:10" ht="14.25" customHeight="1" x14ac:dyDescent="0.25">
      <c r="B9" s="1002"/>
      <c r="C9" s="1003"/>
      <c r="D9" s="1003"/>
      <c r="E9" s="1003"/>
      <c r="F9" s="1003"/>
      <c r="G9" s="1003"/>
      <c r="H9" s="1003"/>
      <c r="I9" s="1004"/>
    </row>
    <row r="10" spans="1:10" ht="14.25" customHeight="1" x14ac:dyDescent="0.25">
      <c r="B10" s="1002"/>
      <c r="C10" s="1003"/>
      <c r="D10" s="1003"/>
      <c r="E10" s="1003"/>
      <c r="F10" s="1003"/>
      <c r="G10" s="1003"/>
      <c r="H10" s="1003"/>
      <c r="I10" s="1004"/>
    </row>
    <row r="11" spans="1:10" ht="14.25" customHeight="1" x14ac:dyDescent="0.25">
      <c r="B11" s="1002"/>
      <c r="C11" s="1003"/>
      <c r="D11" s="1003"/>
      <c r="E11" s="1003"/>
      <c r="F11" s="1003"/>
      <c r="G11" s="1003"/>
      <c r="H11" s="1003"/>
      <c r="I11" s="1004"/>
    </row>
    <row r="12" spans="1:10" ht="14.25" customHeight="1" x14ac:dyDescent="0.25">
      <c r="B12" s="1002"/>
      <c r="C12" s="1003"/>
      <c r="D12" s="1003"/>
      <c r="E12" s="1003"/>
      <c r="F12" s="1003"/>
      <c r="G12" s="1003"/>
      <c r="H12" s="1003"/>
      <c r="I12" s="1004"/>
    </row>
    <row r="13" spans="1:10" ht="14.25" customHeight="1" x14ac:dyDescent="0.25">
      <c r="B13" s="1002"/>
      <c r="C13" s="1003"/>
      <c r="D13" s="1003"/>
      <c r="E13" s="1003"/>
      <c r="F13" s="1003"/>
      <c r="G13" s="1003"/>
      <c r="H13" s="1003"/>
      <c r="I13" s="1004"/>
    </row>
    <row r="14" spans="1:10" ht="14.25" customHeight="1" x14ac:dyDescent="0.25">
      <c r="B14" s="1002"/>
      <c r="C14" s="1003"/>
      <c r="D14" s="1003"/>
      <c r="E14" s="1003"/>
      <c r="F14" s="1003"/>
      <c r="G14" s="1003"/>
      <c r="H14" s="1003"/>
      <c r="I14" s="1004"/>
    </row>
    <row r="15" spans="1:10" ht="14.25" customHeight="1" x14ac:dyDescent="0.25">
      <c r="B15" s="1002"/>
      <c r="C15" s="1003"/>
      <c r="D15" s="1003"/>
      <c r="E15" s="1003"/>
      <c r="F15" s="1003"/>
      <c r="G15" s="1003"/>
      <c r="H15" s="1003"/>
      <c r="I15" s="1004"/>
    </row>
    <row r="16" spans="1:10" ht="14.25" customHeight="1" x14ac:dyDescent="0.25">
      <c r="B16" s="1002"/>
      <c r="C16" s="1003"/>
      <c r="D16" s="1003"/>
      <c r="E16" s="1003"/>
      <c r="F16" s="1003"/>
      <c r="G16" s="1003"/>
      <c r="H16" s="1003"/>
      <c r="I16" s="1004"/>
    </row>
    <row r="17" spans="2:9" ht="14.25" customHeight="1" x14ac:dyDescent="0.25">
      <c r="B17" s="1002"/>
      <c r="C17" s="1003"/>
      <c r="D17" s="1003"/>
      <c r="E17" s="1003"/>
      <c r="F17" s="1003"/>
      <c r="G17" s="1003"/>
      <c r="H17" s="1003"/>
      <c r="I17" s="1004"/>
    </row>
    <row r="18" spans="2:9" ht="14.25" customHeight="1" x14ac:dyDescent="0.25">
      <c r="B18" s="1002"/>
      <c r="C18" s="1003"/>
      <c r="D18" s="1003"/>
      <c r="E18" s="1003"/>
      <c r="F18" s="1003"/>
      <c r="G18" s="1003"/>
      <c r="H18" s="1003"/>
      <c r="I18" s="1004"/>
    </row>
    <row r="19" spans="2:9" ht="14.25" customHeight="1" x14ac:dyDescent="0.25">
      <c r="B19" s="1002"/>
      <c r="C19" s="1003"/>
      <c r="D19" s="1003"/>
      <c r="E19" s="1003"/>
      <c r="F19" s="1003"/>
      <c r="G19" s="1003"/>
      <c r="H19" s="1003"/>
      <c r="I19" s="1004"/>
    </row>
    <row r="20" spans="2:9" ht="14.25" customHeight="1" x14ac:dyDescent="0.25">
      <c r="B20" s="1002"/>
      <c r="C20" s="1003"/>
      <c r="D20" s="1003"/>
      <c r="E20" s="1003"/>
      <c r="F20" s="1003"/>
      <c r="G20" s="1003"/>
      <c r="H20" s="1003"/>
      <c r="I20" s="1004"/>
    </row>
    <row r="21" spans="2:9" ht="14.25" customHeight="1" x14ac:dyDescent="0.25">
      <c r="B21" s="1002"/>
      <c r="C21" s="1003"/>
      <c r="D21" s="1003"/>
      <c r="E21" s="1003"/>
      <c r="F21" s="1003"/>
      <c r="G21" s="1003"/>
      <c r="H21" s="1003"/>
      <c r="I21" s="1004"/>
    </row>
    <row r="22" spans="2:9" ht="14.25" customHeight="1" x14ac:dyDescent="0.25">
      <c r="B22" s="1002"/>
      <c r="C22" s="1003"/>
      <c r="D22" s="1003"/>
      <c r="E22" s="1003"/>
      <c r="F22" s="1003"/>
      <c r="G22" s="1003"/>
      <c r="H22" s="1003"/>
      <c r="I22" s="1004"/>
    </row>
    <row r="23" spans="2:9" ht="14.25" customHeight="1" x14ac:dyDescent="0.25">
      <c r="B23" s="1002"/>
      <c r="C23" s="1003"/>
      <c r="D23" s="1003"/>
      <c r="E23" s="1003"/>
      <c r="F23" s="1003"/>
      <c r="G23" s="1003"/>
      <c r="H23" s="1003"/>
      <c r="I23" s="1004"/>
    </row>
    <row r="24" spans="2:9" ht="14.25" customHeight="1" x14ac:dyDescent="0.25">
      <c r="B24" s="1002"/>
      <c r="C24" s="1003"/>
      <c r="D24" s="1003"/>
      <c r="E24" s="1003"/>
      <c r="F24" s="1003"/>
      <c r="G24" s="1003"/>
      <c r="H24" s="1003"/>
      <c r="I24" s="1004"/>
    </row>
    <row r="25" spans="2:9" ht="14.25" customHeight="1" x14ac:dyDescent="0.25">
      <c r="B25" s="1002"/>
      <c r="C25" s="1003"/>
      <c r="D25" s="1003"/>
      <c r="E25" s="1003"/>
      <c r="F25" s="1003"/>
      <c r="G25" s="1003"/>
      <c r="H25" s="1003"/>
      <c r="I25" s="1004"/>
    </row>
    <row r="26" spans="2:9" ht="14.25" customHeight="1" x14ac:dyDescent="0.25">
      <c r="B26" s="1002"/>
      <c r="C26" s="1003"/>
      <c r="D26" s="1003"/>
      <c r="E26" s="1003"/>
      <c r="F26" s="1003"/>
      <c r="G26" s="1003"/>
      <c r="H26" s="1003"/>
      <c r="I26" s="1004"/>
    </row>
    <row r="27" spans="2:9" ht="14.25" customHeight="1" x14ac:dyDescent="0.25">
      <c r="B27" s="1002"/>
      <c r="C27" s="1003"/>
      <c r="D27" s="1003"/>
      <c r="E27" s="1003"/>
      <c r="F27" s="1003"/>
      <c r="G27" s="1003"/>
      <c r="H27" s="1003"/>
      <c r="I27" s="1004"/>
    </row>
    <row r="28" spans="2:9" ht="14.25" customHeight="1" x14ac:dyDescent="0.25">
      <c r="B28" s="1002"/>
      <c r="C28" s="1003"/>
      <c r="D28" s="1003"/>
      <c r="E28" s="1003"/>
      <c r="F28" s="1003"/>
      <c r="G28" s="1003"/>
      <c r="H28" s="1003"/>
      <c r="I28" s="1004"/>
    </row>
    <row r="29" spans="2:9" ht="14.25" customHeight="1" x14ac:dyDescent="0.25">
      <c r="B29" s="1002"/>
      <c r="C29" s="1003"/>
      <c r="D29" s="1003"/>
      <c r="E29" s="1003"/>
      <c r="F29" s="1003"/>
      <c r="G29" s="1003"/>
      <c r="H29" s="1003"/>
      <c r="I29" s="1004"/>
    </row>
    <row r="30" spans="2:9" ht="14.25" customHeight="1" x14ac:dyDescent="0.25">
      <c r="B30" s="1002"/>
      <c r="C30" s="1003"/>
      <c r="D30" s="1003"/>
      <c r="E30" s="1003"/>
      <c r="F30" s="1003"/>
      <c r="G30" s="1003"/>
      <c r="H30" s="1003"/>
      <c r="I30" s="1004"/>
    </row>
    <row r="31" spans="2:9" ht="14.25" customHeight="1" x14ac:dyDescent="0.25">
      <c r="B31" s="1002"/>
      <c r="C31" s="1003"/>
      <c r="D31" s="1003"/>
      <c r="E31" s="1003"/>
      <c r="F31" s="1003"/>
      <c r="G31" s="1003"/>
      <c r="H31" s="1003"/>
      <c r="I31" s="1004"/>
    </row>
    <row r="32" spans="2:9" ht="14.25" customHeight="1" x14ac:dyDescent="0.25">
      <c r="B32" s="1002"/>
      <c r="C32" s="1003"/>
      <c r="D32" s="1003"/>
      <c r="E32" s="1003"/>
      <c r="F32" s="1003"/>
      <c r="G32" s="1003"/>
      <c r="H32" s="1003"/>
      <c r="I32" s="1004"/>
    </row>
    <row r="33" spans="2:9" ht="14.25" customHeight="1" x14ac:dyDescent="0.25">
      <c r="B33" s="1002"/>
      <c r="C33" s="1003"/>
      <c r="D33" s="1003"/>
      <c r="E33" s="1003"/>
      <c r="F33" s="1003"/>
      <c r="G33" s="1003"/>
      <c r="H33" s="1003"/>
      <c r="I33" s="1004"/>
    </row>
    <row r="34" spans="2:9" ht="14.25" customHeight="1" x14ac:dyDescent="0.25">
      <c r="B34" s="1002"/>
      <c r="C34" s="1003"/>
      <c r="D34" s="1003"/>
      <c r="E34" s="1003"/>
      <c r="F34" s="1003"/>
      <c r="G34" s="1003"/>
      <c r="H34" s="1003"/>
      <c r="I34" s="1004"/>
    </row>
    <row r="35" spans="2:9" ht="14.25" customHeight="1" x14ac:dyDescent="0.25">
      <c r="B35" s="1002"/>
      <c r="C35" s="1003"/>
      <c r="D35" s="1003"/>
      <c r="E35" s="1003"/>
      <c r="F35" s="1003"/>
      <c r="G35" s="1003"/>
      <c r="H35" s="1003"/>
      <c r="I35" s="1004"/>
    </row>
    <row r="36" spans="2:9" ht="14.25" customHeight="1" x14ac:dyDescent="0.25">
      <c r="B36" s="1002"/>
      <c r="C36" s="1003"/>
      <c r="D36" s="1003"/>
      <c r="E36" s="1003"/>
      <c r="F36" s="1003"/>
      <c r="G36" s="1003"/>
      <c r="H36" s="1003"/>
      <c r="I36" s="1004"/>
    </row>
    <row r="37" spans="2:9" ht="13.5" customHeight="1" thickBot="1" x14ac:dyDescent="0.3">
      <c r="B37" s="1005"/>
      <c r="C37" s="1006"/>
      <c r="D37" s="1006"/>
      <c r="E37" s="1006"/>
      <c r="F37" s="1006"/>
      <c r="G37" s="1006"/>
      <c r="H37" s="1006"/>
      <c r="I37" s="1007"/>
    </row>
    <row r="38" spans="2:9" ht="13" thickTop="1" x14ac:dyDescent="0.25"/>
  </sheetData>
  <mergeCells count="1">
    <mergeCell ref="B6:I37"/>
  </mergeCells>
  <pageMargins left="0.23622047244094488" right="0.23622047244094488" top="0.39370078740157483" bottom="0.39370078740157483" header="0.31496062992125984" footer="0.31496062992125984"/>
  <pageSetup paperSize="9"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1"/>
  <dimension ref="A1:E9"/>
  <sheetViews>
    <sheetView zoomScale="85" zoomScaleNormal="85" workbookViewId="0">
      <selection activeCell="M49" sqref="M49"/>
    </sheetView>
  </sheetViews>
  <sheetFormatPr defaultRowHeight="12.5" x14ac:dyDescent="0.25"/>
  <cols>
    <col min="1" max="1" width="3.453125" style="35" customWidth="1"/>
    <col min="2" max="2" width="31.81640625" customWidth="1"/>
    <col min="3" max="3" width="16" style="78" customWidth="1"/>
    <col min="4" max="4" width="16" style="363" customWidth="1"/>
  </cols>
  <sheetData>
    <row r="1" spans="2:5" s="35" customFormat="1" x14ac:dyDescent="0.25">
      <c r="C1" s="78"/>
      <c r="D1" s="363"/>
    </row>
    <row r="2" spans="2:5" ht="13" x14ac:dyDescent="0.3">
      <c r="B2" s="80" t="s">
        <v>1424</v>
      </c>
      <c r="C2" s="81" t="e">
        <v>#N/A</v>
      </c>
      <c r="D2" s="366"/>
    </row>
    <row r="3" spans="2:5" ht="13" x14ac:dyDescent="0.3">
      <c r="B3" s="80" t="s">
        <v>1423</v>
      </c>
      <c r="C3" s="81" t="e">
        <v>#N/A</v>
      </c>
      <c r="D3" s="366"/>
    </row>
    <row r="4" spans="2:5" ht="13" x14ac:dyDescent="0.3">
      <c r="B4" s="80" t="s">
        <v>1425</v>
      </c>
      <c r="C4" s="81"/>
      <c r="D4" s="367"/>
      <c r="E4" s="35"/>
    </row>
    <row r="5" spans="2:5" ht="13" x14ac:dyDescent="0.3">
      <c r="B5" s="85" t="s">
        <v>1448</v>
      </c>
      <c r="C5" s="81" t="e">
        <v>#N/A</v>
      </c>
      <c r="D5" s="366"/>
    </row>
    <row r="6" spans="2:5" ht="13" x14ac:dyDescent="0.3">
      <c r="B6" s="364" t="s">
        <v>1902</v>
      </c>
      <c r="C6" s="363" t="s">
        <v>1906</v>
      </c>
      <c r="D6" s="35"/>
    </row>
    <row r="7" spans="2:5" s="35" customFormat="1" ht="13" x14ac:dyDescent="0.3">
      <c r="B7" s="364" t="s">
        <v>1903</v>
      </c>
      <c r="C7" s="363" t="str">
        <f>IF(SUM_OVE_VALID="Allow invalid sheet upload","Upload anyway","")</f>
        <v/>
      </c>
    </row>
    <row r="8" spans="2:5" ht="13" x14ac:dyDescent="0.3">
      <c r="B8" s="364" t="s">
        <v>1907</v>
      </c>
      <c r="C8" s="78" t="s">
        <v>1909</v>
      </c>
    </row>
    <row r="9" spans="2:5" ht="13" x14ac:dyDescent="0.3">
      <c r="B9" s="364" t="s">
        <v>1908</v>
      </c>
      <c r="C9" s="363" t="str">
        <f>IF(LEN(SUM_OVR_RES)&gt;7,"Allow invalid sheet upload","")</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308</vt:i4>
      </vt:variant>
    </vt:vector>
  </HeadingPairs>
  <TitlesOfParts>
    <vt:vector size="319" baseType="lpstr">
      <vt:lpstr>Summary</vt:lpstr>
      <vt:lpstr>Vessel</vt:lpstr>
      <vt:lpstr>Voyage</vt:lpstr>
      <vt:lpstr>Waste</vt:lpstr>
      <vt:lpstr>Incoming Hazmat</vt:lpstr>
      <vt:lpstr>Outgoing Hazmat</vt:lpstr>
      <vt:lpstr>Security</vt:lpstr>
      <vt:lpstr>Notes</vt:lpstr>
      <vt:lpstr>Tmp data</vt:lpstr>
      <vt:lpstr>Reference data</vt:lpstr>
      <vt:lpstr>Validator</vt:lpstr>
      <vt:lpstr>'Incoming Hazmat'!Activity</vt:lpstr>
      <vt:lpstr>'Outgoing Hazmat'!Activity</vt:lpstr>
      <vt:lpstr>'Incoming Hazmat'!BOOLEAN</vt:lpstr>
      <vt:lpstr>'Outgoing Hazmat'!BOOLEAN</vt:lpstr>
      <vt:lpstr>'Incoming Hazmat'!Cargo_associated_waste</vt:lpstr>
      <vt:lpstr>'Outgoing Hazmat'!Cargo_associated_waste</vt:lpstr>
      <vt:lpstr>Cargo_associated_waste</vt:lpstr>
      <vt:lpstr>'Incoming Hazmat'!Cargo_residues</vt:lpstr>
      <vt:lpstr>'Outgoing Hazmat'!Cargo_residues</vt:lpstr>
      <vt:lpstr>Cargo_residues</vt:lpstr>
      <vt:lpstr>Garbage</vt:lpstr>
      <vt:lpstr>Hazmat_types</vt:lpstr>
      <vt:lpstr>IHZ_CON_EMAIL</vt:lpstr>
      <vt:lpstr>IHZ_CON_FAX</vt:lpstr>
      <vt:lpstr>IHZ_CON_FIRSTNAME</vt:lpstr>
      <vt:lpstr>IHZ_CON_LASTNAME</vt:lpstr>
      <vt:lpstr>IHZ_CON_LOCODE</vt:lpstr>
      <vt:lpstr>IHZ_CON_PHONE</vt:lpstr>
      <vt:lpstr>IHZ_DET_DOCTYPE</vt:lpstr>
      <vt:lpstr>IHZ_DET_HAZONBOARD</vt:lpstr>
      <vt:lpstr>IHZ_DET_INFSHIPCLA</vt:lpstr>
      <vt:lpstr>IHZ_DET_URL</vt:lpstr>
      <vt:lpstr>IHZ_DOC_KEY</vt:lpstr>
      <vt:lpstr>IHZ_EMPTY_RES</vt:lpstr>
      <vt:lpstr>IHZ_HAZ_ADDITIONAL</vt:lpstr>
      <vt:lpstr>IHZ_HAZ_AMOUNT</vt:lpstr>
      <vt:lpstr>IHZ_HAZ_CONSIGNMENT</vt:lpstr>
      <vt:lpstr>IHZ_HAZ_DGCLASSIFI</vt:lpstr>
      <vt:lpstr>IHZ_HAZ_DPGREF</vt:lpstr>
      <vt:lpstr>IHZ_HAZ_EMS</vt:lpstr>
      <vt:lpstr>IHZ_HAZ_FLASHPOINT</vt:lpstr>
      <vt:lpstr>IHZ_HAZ_IMOHAZARDC</vt:lpstr>
      <vt:lpstr>IHZ_HAZ_ITEMS</vt:lpstr>
      <vt:lpstr>IHZ_HAZ_LOCATION</vt:lpstr>
      <vt:lpstr>IHZ_HAZ_MARPOLCODE</vt:lpstr>
      <vt:lpstr>IHZ_HAZ_NETGROSS</vt:lpstr>
      <vt:lpstr>IHZ_HAZ_PACKAGECOD</vt:lpstr>
      <vt:lpstr>IHZ_HAZ_PACKAGES</vt:lpstr>
      <vt:lpstr>IHZ_HAZ_PACKINGGRO</vt:lpstr>
      <vt:lpstr>IHZ_HAZ_PACTYPE</vt:lpstr>
      <vt:lpstr>IHZ_HAZ_PORTOFDISCHARGE</vt:lpstr>
      <vt:lpstr>IHZ_HAZ_PORTOFLOADING</vt:lpstr>
      <vt:lpstr>IHZ_HAZ_SUBSIDIARY</vt:lpstr>
      <vt:lpstr>IHZ_HAZ_TEUID</vt:lpstr>
      <vt:lpstr>IHZ_HAZ_TEXTUALREF</vt:lpstr>
      <vt:lpstr>IHZ_HAZ_TOTALPACKA</vt:lpstr>
      <vt:lpstr>IHZ_HAZ_TOTAMOUNT</vt:lpstr>
      <vt:lpstr>IHZ_HAZ_TOTNETGROSS</vt:lpstr>
      <vt:lpstr>IHZ_HAZ_TOTUNIT</vt:lpstr>
      <vt:lpstr>IHZ_HAZ_TRANSDOCID</vt:lpstr>
      <vt:lpstr>IHZ_HAZ_UNIT</vt:lpstr>
      <vt:lpstr>IHZ_HAZ_UNITTYPE</vt:lpstr>
      <vt:lpstr>IHZ_HAZ_UNNUMBER</vt:lpstr>
      <vt:lpstr>'Incoming Hazmat'!IHZ_LOCODE_LOOKUP</vt:lpstr>
      <vt:lpstr>IHZ_STATUS</vt:lpstr>
      <vt:lpstr>IHZ_VALID</vt:lpstr>
      <vt:lpstr>IHZ_VALID_RES</vt:lpstr>
      <vt:lpstr>IMO_Hazard_Class</vt:lpstr>
      <vt:lpstr>INF_ship_classes</vt:lpstr>
      <vt:lpstr>ISSC_types</vt:lpstr>
      <vt:lpstr>MARPOL_codes</vt:lpstr>
      <vt:lpstr>OHZ_CON_EMAIL</vt:lpstr>
      <vt:lpstr>OHZ_CON_FAX</vt:lpstr>
      <vt:lpstr>OHZ_CON_FIRSTNAME</vt:lpstr>
      <vt:lpstr>OHZ_CON_LASTNAME</vt:lpstr>
      <vt:lpstr>OHZ_CON_LOCODE</vt:lpstr>
      <vt:lpstr>OHZ_CON_PHONE</vt:lpstr>
      <vt:lpstr>OHZ_DET_DOCTYPE</vt:lpstr>
      <vt:lpstr>OHZ_DET_HAZONBOARD</vt:lpstr>
      <vt:lpstr>OHZ_DET_INFSHIPCLA</vt:lpstr>
      <vt:lpstr>OHZ_DET_URL</vt:lpstr>
      <vt:lpstr>OHZ_DOC_KEY</vt:lpstr>
      <vt:lpstr>OHZ_EMPTY_RES</vt:lpstr>
      <vt:lpstr>OHZ_HAZ_ADDITIONAL</vt:lpstr>
      <vt:lpstr>OHZ_HAZ_AMOUNT</vt:lpstr>
      <vt:lpstr>OHZ_HAZ_CONSIGNMENT</vt:lpstr>
      <vt:lpstr>OHZ_HAZ_DGCLASSIFI</vt:lpstr>
      <vt:lpstr>OHZ_HAZ_DPGREF</vt:lpstr>
      <vt:lpstr>OHZ_HAZ_EMS</vt:lpstr>
      <vt:lpstr>OHZ_HAZ_FLASHPOINT</vt:lpstr>
      <vt:lpstr>OHZ_HAZ_IMOHAZARDC</vt:lpstr>
      <vt:lpstr>OHZ_HAZ_ITEMS</vt:lpstr>
      <vt:lpstr>OHZ_HAZ_LOCATION</vt:lpstr>
      <vt:lpstr>OHZ_HAZ_MARPOLCODE</vt:lpstr>
      <vt:lpstr>OHZ_HAZ_NETGROSS</vt:lpstr>
      <vt:lpstr>OHZ_HAZ_PACKAGECOD</vt:lpstr>
      <vt:lpstr>OHZ_HAZ_PACKAGES</vt:lpstr>
      <vt:lpstr>OHZ_HAZ_PACKINGGRO</vt:lpstr>
      <vt:lpstr>OHZ_HAZ_PACTYPE</vt:lpstr>
      <vt:lpstr>OHZ_HAZ_PORTOFDISCHARGE</vt:lpstr>
      <vt:lpstr>OHZ_HAZ_PORTOFLOADING</vt:lpstr>
      <vt:lpstr>OHZ_HAZ_SUBSIDIARY</vt:lpstr>
      <vt:lpstr>OHZ_HAZ_TEUID</vt:lpstr>
      <vt:lpstr>OHZ_HAZ_TEXTUALREF</vt:lpstr>
      <vt:lpstr>OHZ_HAZ_TOTALPACKA</vt:lpstr>
      <vt:lpstr>OHZ_HAZ_TOTAMOUNT</vt:lpstr>
      <vt:lpstr>OHZ_HAZ_TOTNETGROSS</vt:lpstr>
      <vt:lpstr>OHZ_HAZ_TOTUNIT</vt:lpstr>
      <vt:lpstr>OHZ_HAZ_TRANSDOCID</vt:lpstr>
      <vt:lpstr>OHZ_HAZ_UNIT</vt:lpstr>
      <vt:lpstr>OHZ_HAZ_UNITTYPE</vt:lpstr>
      <vt:lpstr>OHZ_HAZ_UNNUMBER</vt:lpstr>
      <vt:lpstr>'Incoming Hazmat'!OHZ_LOCODE_LOOKUP</vt:lpstr>
      <vt:lpstr>'Outgoing Hazmat'!OHZ_LOCODE_LOOKUP</vt:lpstr>
      <vt:lpstr>OHZ_STATUS</vt:lpstr>
      <vt:lpstr>OHZ_VALID</vt:lpstr>
      <vt:lpstr>OHZ_VALID_RES</vt:lpstr>
      <vt:lpstr>On_off</vt:lpstr>
      <vt:lpstr>Package_type_code</vt:lpstr>
      <vt:lpstr>Package_type_name</vt:lpstr>
      <vt:lpstr>'Incoming Hazmat'!Print_Area</vt:lpstr>
      <vt:lpstr>Notes!Print_Area</vt:lpstr>
      <vt:lpstr>'Outgoing Hazmat'!Print_Area</vt:lpstr>
      <vt:lpstr>Security!Print_Area</vt:lpstr>
      <vt:lpstr>Summary!Print_Area</vt:lpstr>
      <vt:lpstr>Vessel!Print_Area</vt:lpstr>
      <vt:lpstr>Voyage!Print_Area</vt:lpstr>
      <vt:lpstr>Waste!Print_Area</vt:lpstr>
      <vt:lpstr>REF_ACTIVITY</vt:lpstr>
      <vt:lpstr>REF_COUNTRIES</vt:lpstr>
      <vt:lpstr>REF_DG_CLASSIFICATION</vt:lpstr>
      <vt:lpstr>REF_DOCTYPES</vt:lpstr>
      <vt:lpstr>REF_ISSUER_TYPE</vt:lpstr>
      <vt:lpstr>REF_PACKING_GROUP</vt:lpstr>
      <vt:lpstr>REF_PURPOSES</vt:lpstr>
      <vt:lpstr>REF_SECURITYLEVELS_OPTIONS</vt:lpstr>
      <vt:lpstr>REF_UK_LOCODES</vt:lpstr>
      <vt:lpstr>REF_UK_LOCODES_PORTNAMES</vt:lpstr>
      <vt:lpstr>REF_UK_PORTNAMES</vt:lpstr>
      <vt:lpstr>REF_UNITS</vt:lpstr>
      <vt:lpstr>REF_YES_NO</vt:lpstr>
      <vt:lpstr>SEC_AGENT_EMAIL</vt:lpstr>
      <vt:lpstr>SEC_AGENT_FAX</vt:lpstr>
      <vt:lpstr>SEC_AGENT_NAME</vt:lpstr>
      <vt:lpstr>SEC_AGENT_PHONE</vt:lpstr>
      <vt:lpstr>SEC_AVD_LASTUKVISIT</vt:lpstr>
      <vt:lpstr>SEC_AVD_REPSHIPLOC</vt:lpstr>
      <vt:lpstr>SEC_CAR_BRIEFCARGO</vt:lpstr>
      <vt:lpstr>SEC_CSO_EMAIL</vt:lpstr>
      <vt:lpstr>SEC_CSO_FAX</vt:lpstr>
      <vt:lpstr>SEC_CSO_FIRSTNAME</vt:lpstr>
      <vt:lpstr>SEC_CSO_LASTNAME</vt:lpstr>
      <vt:lpstr>SEC_CSO_PHONE</vt:lpstr>
      <vt:lpstr>SEC_CURRENTSEC</vt:lpstr>
      <vt:lpstr>SEC_DOC_KEY</vt:lpstr>
      <vt:lpstr>SEC_EMPTY_RES</vt:lpstr>
      <vt:lpstr>SEC_ISSC_EXPIRY</vt:lpstr>
      <vt:lpstr>SEC_ISSC_ISSUER</vt:lpstr>
      <vt:lpstr>SEC_ISSC_ISSUERTYPE</vt:lpstr>
      <vt:lpstr>SEC_ISSC_ISVALID</vt:lpstr>
      <vt:lpstr>SEC_ISSC_NUMBER</vt:lpstr>
      <vt:lpstr>SEC_ISSC_REASON</vt:lpstr>
      <vt:lpstr>SEC_ISSC_TYPE</vt:lpstr>
      <vt:lpstr>SEC_LAST_COUNTRY</vt:lpstr>
      <vt:lpstr>SEC_LAST_DATEOFARRI</vt:lpstr>
      <vt:lpstr>SEC_LAST_DATEOFDEPT</vt:lpstr>
      <vt:lpstr>SEC_LAST_FACNAME</vt:lpstr>
      <vt:lpstr>SEC_LAST_MEASURESYORN</vt:lpstr>
      <vt:lpstr>SEC_LAST_PORT</vt:lpstr>
      <vt:lpstr>SEC_LAST_PORTCALLNO</vt:lpstr>
      <vt:lpstr>SEC_LAST_PORTFAC</vt:lpstr>
      <vt:lpstr>SEC_LAST_SECLEVEL</vt:lpstr>
      <vt:lpstr>SEC_LAST_SECMEASURE</vt:lpstr>
      <vt:lpstr>SEC_LOC_LOCATION</vt:lpstr>
      <vt:lpstr>SEC_LOCODE_LOOKUP</vt:lpstr>
      <vt:lpstr>SEC_PAS_CREWLIST</vt:lpstr>
      <vt:lpstr>SEC_PAS_PASSENGERS</vt:lpstr>
      <vt:lpstr>SEC_PASSCREWTA</vt:lpstr>
      <vt:lpstr>SEC_PASSENGERCREWLIST</vt:lpstr>
      <vt:lpstr>SEC_PURPOSE</vt:lpstr>
      <vt:lpstr>SEC_REG_REGCOMPIMO</vt:lpstr>
      <vt:lpstr>SEC_REG_REGCOMPNAM</vt:lpstr>
      <vt:lpstr>SEC_REG_REGDATE</vt:lpstr>
      <vt:lpstr>SEC_REG_REGNUMBER</vt:lpstr>
      <vt:lpstr>SEC_RELATEDMAT</vt:lpstr>
      <vt:lpstr>SEC_RSM_DESC</vt:lpstr>
      <vt:lpstr>SEC_RSM_RSM</vt:lpstr>
      <vt:lpstr>SEC_SECURITYPL</vt:lpstr>
      <vt:lpstr>SEC_SHIP_ACTIVITY</vt:lpstr>
      <vt:lpstr>SEC_SHIP_DATEFROM</vt:lpstr>
      <vt:lpstr>SEC_SHIP_DATETO</vt:lpstr>
      <vt:lpstr>SEC_SHIP_LATITUDE</vt:lpstr>
      <vt:lpstr>SEC_SHIP_LOCATION</vt:lpstr>
      <vt:lpstr>SEC_SHIP_LONGITUDE</vt:lpstr>
      <vt:lpstr>SEC_SHIP_MEASURESYORN</vt:lpstr>
      <vt:lpstr>SEC_SHIP_SECURITYME</vt:lpstr>
      <vt:lpstr>SEC_SHIP_SHIPNO</vt:lpstr>
      <vt:lpstr>SEC_SRC_SOURCE</vt:lpstr>
      <vt:lpstr>SEC_SRC_UPDATED</vt:lpstr>
      <vt:lpstr>SEC_STATUS</vt:lpstr>
      <vt:lpstr>SEC_VALID</vt:lpstr>
      <vt:lpstr>SEC_VALID_RES</vt:lpstr>
      <vt:lpstr>SEC_VDE_GROSSTONNA</vt:lpstr>
      <vt:lpstr>SEC_VDE_REGLOCODE</vt:lpstr>
      <vt:lpstr>SEC_VDE_REGPORT</vt:lpstr>
      <vt:lpstr>SEC_VDE_SHIPCODE</vt:lpstr>
      <vt:lpstr>SEC_VDE_SHIPTYPE</vt:lpstr>
      <vt:lpstr>SEC_VID_CALLSIGN</vt:lpstr>
      <vt:lpstr>SEC_VID_FLAG</vt:lpstr>
      <vt:lpstr>SEC_VID_IMO</vt:lpstr>
      <vt:lpstr>SEC_VID_MMSI</vt:lpstr>
      <vt:lpstr>SEC_VID_SHIPNAME</vt:lpstr>
      <vt:lpstr>Sewage</vt:lpstr>
      <vt:lpstr>Ship_configurations</vt:lpstr>
      <vt:lpstr>Ship_types</vt:lpstr>
      <vt:lpstr>SUM_DOC_KEY</vt:lpstr>
      <vt:lpstr>SUM_DOC_UPDATED</vt:lpstr>
      <vt:lpstr>SUM_DOC_UPDATEDNAME</vt:lpstr>
      <vt:lpstr>SUM_DOC_VERSION</vt:lpstr>
      <vt:lpstr>SUM_INCLUDE_IHZ</vt:lpstr>
      <vt:lpstr>SUM_INCLUDE_OHZ</vt:lpstr>
      <vt:lpstr>SUM_INCLUDE_SEC</vt:lpstr>
      <vt:lpstr>SUM_INCLUDE_VES</vt:lpstr>
      <vt:lpstr>SUM_INCLUDE_VOY</vt:lpstr>
      <vt:lpstr>SUM_INCLUDE_WAS</vt:lpstr>
      <vt:lpstr>SUM_OSVERSION</vt:lpstr>
      <vt:lpstr>SUM_OVE_VALID</vt:lpstr>
      <vt:lpstr>SUM_OVR_RES</vt:lpstr>
      <vt:lpstr>SUM_RELEASE</vt:lpstr>
      <vt:lpstr>SUM_SRC_EMAIL</vt:lpstr>
      <vt:lpstr>SUM_SRC_SOURCE</vt:lpstr>
      <vt:lpstr>SUM_SRC_UPDATED</vt:lpstr>
      <vt:lpstr>SUM_SYSTEM</vt:lpstr>
      <vt:lpstr>TMP_SUM_ALLOW</vt:lpstr>
      <vt:lpstr>TMP_SUM_WRITEVALID</vt:lpstr>
      <vt:lpstr>TMP_VDE_REGPORT</vt:lpstr>
      <vt:lpstr>TMP_VOY_LASTPORT</vt:lpstr>
      <vt:lpstr>TMP_VOY_NEXTPORT</vt:lpstr>
      <vt:lpstr>TMP_VOY_PORTOFCALL</vt:lpstr>
      <vt:lpstr>Units_description</vt:lpstr>
      <vt:lpstr>VES_DOC_KEY</vt:lpstr>
      <vt:lpstr>VES_EMPTY_RES</vt:lpstr>
      <vt:lpstr>VES_INMARSAT</vt:lpstr>
      <vt:lpstr>VES_REG_REGCOMPIMO</vt:lpstr>
      <vt:lpstr>VES_REG_REGCOMPNAM</vt:lpstr>
      <vt:lpstr>VES_REG_REGDATE</vt:lpstr>
      <vt:lpstr>VES_REG_REGNUMBER</vt:lpstr>
      <vt:lpstr>VES_STATUS</vt:lpstr>
      <vt:lpstr>VES_VALID</vt:lpstr>
      <vt:lpstr>VES_VALID_RES</vt:lpstr>
      <vt:lpstr>VES_VDE_GROSSTONNA</vt:lpstr>
      <vt:lpstr>VES_VDE_REGLOCODE</vt:lpstr>
      <vt:lpstr>VES_VDE_REGPORT</vt:lpstr>
      <vt:lpstr>VES_VDE_SHIPCODE</vt:lpstr>
      <vt:lpstr>VES_VDE_SHIPTYPE</vt:lpstr>
      <vt:lpstr>VES_VID_CALLSIGN</vt:lpstr>
      <vt:lpstr>VES_VID_FLAG</vt:lpstr>
      <vt:lpstr>VES_VID_IMO</vt:lpstr>
      <vt:lpstr>VES_VID_MMSI</vt:lpstr>
      <vt:lpstr>VES_VID_SHIPNAME</vt:lpstr>
      <vt:lpstr>VOY_ARR_ANCHORAGE</vt:lpstr>
      <vt:lpstr>VOY_ARR_ATA</vt:lpstr>
      <vt:lpstr>VOY_DEP_ATD</vt:lpstr>
      <vt:lpstr>VOY_DEP_POBNEXTPOC</vt:lpstr>
      <vt:lpstr>VOY_DOC_KEY</vt:lpstr>
      <vt:lpstr>VOY_EMPTY_RES</vt:lpstr>
      <vt:lpstr>VOY_POBPOC</vt:lpstr>
      <vt:lpstr>VOY_PURPOSES</vt:lpstr>
      <vt:lpstr>VOY_STATUS</vt:lpstr>
      <vt:lpstr>VOY_TOTALPURPO</vt:lpstr>
      <vt:lpstr>VOY_VALID</vt:lpstr>
      <vt:lpstr>VOY_VALID_RES</vt:lpstr>
      <vt:lpstr>VOY_VOY_BRIEFCARGO</vt:lpstr>
      <vt:lpstr>VOY_VOY_ETA</vt:lpstr>
      <vt:lpstr>VOY_VOY_ETATONEXTP</vt:lpstr>
      <vt:lpstr>VOY_VOY_ETD</vt:lpstr>
      <vt:lpstr>VOY_VOY_ETDFROMPOC</vt:lpstr>
      <vt:lpstr>VOY_VOY_LASTPORT</vt:lpstr>
      <vt:lpstr>VOY_VOY_NEXTPORT</vt:lpstr>
      <vt:lpstr>VOY_VOY_PORTFACILI</vt:lpstr>
      <vt:lpstr>VOY_VOY_PORTOFCALL</vt:lpstr>
      <vt:lpstr>VOY_VOY_POSIINPORT</vt:lpstr>
      <vt:lpstr>WAS_DOC_KEY</vt:lpstr>
      <vt:lpstr>WAS_EMPTY_RES</vt:lpstr>
      <vt:lpstr>WAS_ITE_CATEGORY</vt:lpstr>
      <vt:lpstr>WAS_ITE_DELIVERED</vt:lpstr>
      <vt:lpstr>WAS_ITE_DELIVEREDU</vt:lpstr>
      <vt:lpstr>WAS_ITE_GENERATED</vt:lpstr>
      <vt:lpstr>WAS_ITE_GENERATEDU</vt:lpstr>
      <vt:lpstr>WAS_ITE_MAXSTORAG</vt:lpstr>
      <vt:lpstr>WAS_ITE_MAXSTORAGU</vt:lpstr>
      <vt:lpstr>WAS_ITE_REMAINING</vt:lpstr>
      <vt:lpstr>WAS_ITE_RETAINED</vt:lpstr>
      <vt:lpstr>WAS_ITE_RETAINEDU</vt:lpstr>
      <vt:lpstr>WAS_ITE_TYPE</vt:lpstr>
      <vt:lpstr>WAS_ITE_TYPECODE</vt:lpstr>
      <vt:lpstr>WAS_ITE_TYPEDESCRI</vt:lpstr>
      <vt:lpstr>WAS_LOC_LOCNAME</vt:lpstr>
      <vt:lpstr>WAS_LOC_LOCODE</vt:lpstr>
      <vt:lpstr>WAS_LOCODE_LOOKUP</vt:lpstr>
      <vt:lpstr>WAS_OVE_LASTDATE</vt:lpstr>
      <vt:lpstr>WAS_OVE_LASTPORT</vt:lpstr>
      <vt:lpstr>WAS_OVE_STATUS</vt:lpstr>
      <vt:lpstr>WAS_STATUS</vt:lpstr>
      <vt:lpstr>WAS_VALID</vt:lpstr>
      <vt:lpstr>WAS_VALID_RES</vt:lpstr>
      <vt:lpstr>WAS_VID_CALLSIGN</vt:lpstr>
      <vt:lpstr>WAS_VID_FLAG</vt:lpstr>
      <vt:lpstr>WAS_VID_IMO</vt:lpstr>
      <vt:lpstr>WAS_VID_MMSI</vt:lpstr>
      <vt:lpstr>WAS_VID_SHIPNAME</vt:lpstr>
      <vt:lpstr>WAS_VOY_ETATONEXTP</vt:lpstr>
      <vt:lpstr>WAS_VOY_ETDFROMPOC</vt:lpstr>
      <vt:lpstr>WAS_VOY_LASTPORT</vt:lpstr>
      <vt:lpstr>WAS_VOY_NEXTPORT</vt:lpstr>
      <vt:lpstr>Waste_Categories</vt:lpstr>
      <vt:lpstr>Waste_delivery_status</vt:lpstr>
      <vt:lpstr>Waste_oils</vt:lpstr>
    </vt:vector>
  </TitlesOfParts>
  <Company>IB Boost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CERS 3 PortPlus Excel Form</dc:title>
  <dc:creator>UK Maritime and Coastguard Agency;IB Boost Ltd</dc:creator>
  <cp:keywords>IB Boost Ltd;MCA;SSN;CERS 3</cp:keywords>
  <cp:lastModifiedBy>Eleanor Clarke</cp:lastModifiedBy>
  <cp:lastPrinted>2018-08-31T10:23:47Z</cp:lastPrinted>
  <dcterms:created xsi:type="dcterms:W3CDTF">2016-01-11T13:31:53Z</dcterms:created>
  <dcterms:modified xsi:type="dcterms:W3CDTF">2019-05-24T07:13:56Z</dcterms:modified>
</cp:coreProperties>
</file>